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871" yWindow="1830" windowWidth="15180" windowHeight="8850" tabRatio="826" firstSheet="1" activeTab="1"/>
  </bookViews>
  <sheets>
    <sheet name="Blank Insurance Premium" sheetId="1" state="hidden" r:id="rId1"/>
    <sheet name="Child Support Comp Entry" sheetId="2" r:id="rId2"/>
    <sheet name="Legal Styling" sheetId="3" r:id="rId3"/>
    <sheet name="Names and Signature Lines" sheetId="4" r:id="rId4"/>
    <sheet name="Child Support Computation" sheetId="5" state="hidden" r:id="rId5"/>
    <sheet name="Insurance Premium Calculator" sheetId="6" r:id="rId6"/>
    <sheet name="CS Schedule" sheetId="7" state="hidden" r:id="rId7"/>
    <sheet name="ChildCare Schedule" sheetId="8" state="hidden" r:id="rId8"/>
    <sheet name="Insurance Premium" sheetId="9" state="hidden" r:id="rId9"/>
    <sheet name="Cash Medical Table" sheetId="10" r:id="rId10"/>
    <sheet name="Storage" sheetId="11" state="hidden" r:id="rId11"/>
  </sheets>
  <externalReferences>
    <externalReference r:id="rId14"/>
  </externalReferences>
  <definedNames>
    <definedName name="_Fill" localSheetId="9" hidden="1">'Cash Medical Table'!#REF!</definedName>
    <definedName name="_Fill" localSheetId="7" hidden="1">#REF!</definedName>
    <definedName name="_Fill" localSheetId="6" hidden="1">'CS Schedule'!$A$11:$A$317</definedName>
    <definedName name="_Fill" hidden="1">#REF!</definedName>
    <definedName name="_Regression_Int" localSheetId="9" hidden="1">1</definedName>
    <definedName name="_Regression_Int" localSheetId="6" hidden="1">1</definedName>
    <definedName name="_Toc531926729" localSheetId="1">'Child Support Comp Entry'!$I$12</definedName>
    <definedName name="CHILD_SUPPORT_COMPUTATION">'Child Support Comp Entry'!$A$1</definedName>
    <definedName name="ColumnTitleRegion1.A2.E2.1">'Child Support Comp Entry'!$A$2:$E$2</definedName>
    <definedName name="Description_of_information_or_instruction">'Child Support Comp Entry'!$A$2</definedName>
    <definedName name="Enter_gross_monthly_income_All_sources__except_income_specifically_excluded_by_43_O.S._Section_118B_B">'Child Support Comp Entry'!$A$5</definedName>
    <definedName name="Father">'Child Support Comp Entry'!$C$2</definedName>
    <definedName name="Info_for_calculation">'Child Support Comp Entry'!$B$2</definedName>
    <definedName name="Mother">'Child Support Comp Entry'!$D$2</definedName>
    <definedName name="Other_Custodian">'Child Support Comp Entry'!$E$2</definedName>
    <definedName name="_xlnm.Print_Area" localSheetId="9">'Cash Medical Table'!$A$1:$I$8</definedName>
    <definedName name="_xlnm.Print_Area" localSheetId="1">'Child Support Comp Entry'!$A$1:$E$59</definedName>
    <definedName name="_xlnm.Print_Area" localSheetId="4">'Child Support Computation'!$A$1:$F$132</definedName>
    <definedName name="_xlnm.Print_Area" localSheetId="6">'CS Schedule'!$A$10:$H$298</definedName>
    <definedName name="_xlnm.Print_Area" localSheetId="8">'Insurance Premium'!$A$1:$F$11</definedName>
    <definedName name="_xlnm.Print_Area" localSheetId="5">'Insurance Premium Calculator'!$A$1:$D$10</definedName>
    <definedName name="_xlnm.Print_Area" localSheetId="2">'Legal Styling'!$A$1:$B$11</definedName>
    <definedName name="_xlnm.Print_Area" localSheetId="3">'Names and Signature Lines'!$A$1:$B$17</definedName>
    <definedName name="Print_Area_MI" localSheetId="9">'Cash Medical Table'!$A$1:$J$16</definedName>
    <definedName name="Print_Area_MI" localSheetId="6">'CS Schedule'!$A$1:$I$248</definedName>
    <definedName name="_xlnm.Print_Titles" localSheetId="9">'Cash Medical Table'!$1:$7</definedName>
    <definedName name="_xlnm.Print_Titles" localSheetId="6">'CS Schedule'!$1:$8</definedName>
    <definedName name="RANGE" localSheetId="9">'Cash Medical Table'!$A$9:$I$16</definedName>
    <definedName name="RANGE" localSheetId="7">#REF!</definedName>
    <definedName name="RANGE" localSheetId="6">'CS Schedule'!$A$12:$H$248</definedName>
    <definedName name="RANGE">#REF!</definedName>
    <definedName name="RowTitleRegion1.A3.A59.1">'Child Support Comp Entry'!$A$3:$A$59</definedName>
  </definedNames>
  <calcPr fullCalcOnLoad="1"/>
</workbook>
</file>

<file path=xl/sharedStrings.xml><?xml version="1.0" encoding="utf-8"?>
<sst xmlns="http://schemas.openxmlformats.org/spreadsheetml/2006/main" count="666" uniqueCount="328">
  <si>
    <t>STATE OF OKLAHOMA</t>
  </si>
  <si>
    <t xml:space="preserve">    )    Dist. Ct. Case No.</t>
  </si>
  <si>
    <t xml:space="preserve">    )
    )    OAH Case No.</t>
  </si>
  <si>
    <t/>
  </si>
  <si>
    <t>CHILD SUPPORT COMPUTATION</t>
  </si>
  <si>
    <t>Father</t>
  </si>
  <si>
    <t>Mother</t>
  </si>
  <si>
    <t xml:space="preserve"> </t>
  </si>
  <si>
    <t>A</t>
  </si>
  <si>
    <t>Base monthly obligation</t>
  </si>
  <si>
    <t>Combined</t>
  </si>
  <si>
    <t>B</t>
  </si>
  <si>
    <t>Health insurance premium</t>
  </si>
  <si>
    <t>D</t>
  </si>
  <si>
    <t>Work and education-related child care expenses</t>
  </si>
  <si>
    <t>E</t>
  </si>
  <si>
    <t>Other contributions, if agreed or ordered</t>
  </si>
  <si>
    <t>Guidelines were followed.</t>
  </si>
  <si>
    <t>Deviation from child support guidelines by Court-Specific findings of Court supporting each deviation:</t>
  </si>
  <si>
    <t>JUDGE</t>
  </si>
  <si>
    <t>APPROVED AS TO FORM:</t>
  </si>
  <si>
    <t>Parenting time adjustment, if used</t>
  </si>
  <si>
    <t>Eff. June 6, 2000</t>
  </si>
  <si>
    <t xml:space="preserve">43 O.S. § 119 </t>
  </si>
  <si>
    <t>OKLAHOMA</t>
  </si>
  <si>
    <t>SCHEDULE OF BASIC CHILD SUPPORT OBLIGATIONS</t>
  </si>
  <si>
    <t>COMBINED</t>
  </si>
  <si>
    <t>GROSS</t>
  </si>
  <si>
    <t>MONTHLY</t>
  </si>
  <si>
    <t>ONE</t>
  </si>
  <si>
    <t>TWO</t>
  </si>
  <si>
    <t>THREE</t>
  </si>
  <si>
    <t>FOUR</t>
  </si>
  <si>
    <t>FIVE</t>
  </si>
  <si>
    <t>SIX</t>
  </si>
  <si>
    <t>INCOME</t>
  </si>
  <si>
    <t>CHILD</t>
  </si>
  <si>
    <t>CHILDREN</t>
  </si>
  <si>
    <t>From OKDHS Child Care Eligibility/Rates Schedule C-4</t>
  </si>
  <si>
    <t>Effective:</t>
  </si>
  <si>
    <t>ADJUSTED MONTHLY INCOME</t>
  </si>
  <si>
    <t>Gross earned plus unearned income, minus</t>
  </si>
  <si>
    <t>number of persons in OKDHS subsidized care is:</t>
  </si>
  <si>
    <t xml:space="preserve">legally-blinded child support paid, rounded </t>
  </si>
  <si>
    <t>4 or more</t>
  </si>
  <si>
    <t>to the nearest dollar.</t>
  </si>
  <si>
    <t>THE CLIENT PAYS THE FIRST:</t>
  </si>
  <si>
    <t>-</t>
  </si>
  <si>
    <t>*</t>
  </si>
  <si>
    <t>AND ABOVE</t>
  </si>
  <si>
    <t xml:space="preserve">               *Client pays total cost of child care</t>
  </si>
  <si>
    <t xml:space="preserve">C </t>
  </si>
  <si>
    <r>
      <t>Percentage share of income</t>
    </r>
    <r>
      <rPr>
        <sz val="10"/>
        <rFont val="Arial"/>
        <family val="2"/>
      </rPr>
      <t xml:space="preserve">
AGI for each parent divided by the combined AGI</t>
    </r>
  </si>
  <si>
    <t>Insurance Premium Worksheet</t>
  </si>
  <si>
    <t xml:space="preserve">Cash Medical Support </t>
  </si>
  <si>
    <t>Calculation for number of children in this case</t>
  </si>
  <si>
    <t>______________________________________________</t>
  </si>
  <si>
    <t>Father printed name</t>
  </si>
  <si>
    <t>Father signature</t>
  </si>
  <si>
    <t>Attorney for father printed name</t>
  </si>
  <si>
    <t>Mother printed name</t>
  </si>
  <si>
    <t>Mother signature</t>
  </si>
  <si>
    <t>Attorney for mother printed name</t>
  </si>
  <si>
    <t>State's Attorney, OCSS printed name</t>
  </si>
  <si>
    <t xml:space="preserve">    )
    )    </t>
  </si>
  <si>
    <r>
      <t>Number of overnights with each parent</t>
    </r>
    <r>
      <rPr>
        <sz val="10"/>
        <rFont val="Arial"/>
        <family val="2"/>
      </rPr>
      <t xml:space="preserve">
If less than 121 for either parent, skip to C.</t>
    </r>
  </si>
  <si>
    <t>Child Support obligation subtotal</t>
  </si>
  <si>
    <t>F</t>
  </si>
  <si>
    <t>G</t>
  </si>
  <si>
    <t>H</t>
  </si>
  <si>
    <t>I</t>
  </si>
  <si>
    <t>Current Monthly Support Obligation</t>
  </si>
  <si>
    <t xml:space="preserve">    )
    )                   FGN:</t>
  </si>
  <si>
    <r>
      <t xml:space="preserve">&lt;=== Adjustment Factor </t>
    </r>
    <r>
      <rPr>
        <sz val="10"/>
        <rFont val="Arial"/>
        <family val="0"/>
      </rPr>
      <t xml:space="preserve">  
  less than 121 = no factor
          121-131 = 2
          132-143 = 1.75
          144-183 = 1.5</t>
    </r>
  </si>
  <si>
    <t>Other Custodian</t>
  </si>
  <si>
    <r>
      <t>Visitation transportation costs</t>
    </r>
    <r>
      <rPr>
        <strike/>
        <sz val="10"/>
        <rFont val="Arial"/>
        <family val="2"/>
      </rPr>
      <t xml:space="preserve"> </t>
    </r>
  </si>
  <si>
    <t>Dated: ___________________________________</t>
  </si>
  <si>
    <t xml:space="preserve">     a. Percentage of overnights with each parent 
         Number of overnights for each parent divided by 365</t>
  </si>
  <si>
    <r>
      <t>OKDHS Child Care Subsidy Worksheet</t>
    </r>
    <r>
      <rPr>
        <sz val="10"/>
        <rFont val="Arial"/>
        <family val="2"/>
      </rPr>
      <t xml:space="preserve">     
     a. Total children in each parent's household receiving
         child care subsidy</t>
    </r>
  </si>
  <si>
    <t xml:space="preserve">  13a. The actual monthly health
         premium cost paid by parent or 
         other custodian for the child(ren). </t>
  </si>
  <si>
    <t xml:space="preserve">  13b. Cost of insurance for adults only </t>
  </si>
  <si>
    <t xml:space="preserve">  13c. The number of dependent 
         children being covered.  </t>
  </si>
  <si>
    <t xml:space="preserve">  13e. The number of children on
         this order.  </t>
  </si>
  <si>
    <t>Other Custodian printed name</t>
  </si>
  <si>
    <r>
      <t xml:space="preserve">Monthly health insurance premium costs
</t>
    </r>
    <r>
      <rPr>
        <sz val="10"/>
        <rFont val="Arial"/>
        <family val="2"/>
      </rPr>
      <t xml:space="preserve">This premium represents the actual premium cost for any child(ren) in this case only.  Insurance Premium Worksheet is available if needed.    
</t>
    </r>
    <r>
      <rPr>
        <b/>
        <sz val="10"/>
        <rFont val="Arial"/>
        <family val="2"/>
      </rPr>
      <t>Use Cash Medical Support if any child is not covered by insurance.</t>
    </r>
  </si>
  <si>
    <r>
      <t xml:space="preserve">Ongoing medical costs
</t>
    </r>
    <r>
      <rPr>
        <sz val="10"/>
        <rFont val="Arial"/>
        <family val="2"/>
      </rPr>
      <t>Cash medical support for fixed periodic payments for ongoing medical costs</t>
    </r>
  </si>
  <si>
    <t>Other Custodian signature</t>
  </si>
  <si>
    <r>
      <t>Monthly child care expenses for children in this case</t>
    </r>
    <r>
      <rPr>
        <sz val="10"/>
        <rFont val="Arial"/>
        <family val="2"/>
      </rPr>
      <t xml:space="preserve">
Do not include any co-payments being paid by a parent
receiving OKDHS child care subsidy.</t>
    </r>
  </si>
  <si>
    <t>Number of
children</t>
  </si>
  <si>
    <t>8 or more</t>
  </si>
  <si>
    <t>continue</t>
  </si>
  <si>
    <t xml:space="preserve">Income
of the
parents </t>
  </si>
  <si>
    <t>When the family size is 5 members or fewer and the</t>
  </si>
  <si>
    <r>
      <t xml:space="preserve">5% of Gross Monthly Income for Obligor
</t>
    </r>
    <r>
      <rPr>
        <sz val="10"/>
        <rFont val="Arial"/>
        <family val="2"/>
      </rPr>
      <t>Line 2 multiplied by 0.05 
This represents the maximum amount of total medical allowed.</t>
    </r>
  </si>
  <si>
    <t xml:space="preserve">Attorney for Other Custodian printed name </t>
  </si>
  <si>
    <t xml:space="preserve">     c. Court ordered monthly adjustment for marital debt</t>
  </si>
  <si>
    <r>
      <t>In-home Children Deduction Worksheet</t>
    </r>
    <r>
      <rPr>
        <sz val="10"/>
        <rFont val="Arial"/>
        <family val="2"/>
      </rPr>
      <t xml:space="preserve">
     e. Number of qualified in-home children excluding
         children on this case  </t>
    </r>
  </si>
  <si>
    <r>
      <t xml:space="preserve">Total obligation to be paid by the obligor
</t>
    </r>
    <r>
      <rPr>
        <sz val="10"/>
        <rFont val="Arial"/>
        <family val="2"/>
      </rPr>
      <t xml:space="preserve">Line 26a plus 26b plus 26c </t>
    </r>
  </si>
  <si>
    <r>
      <t>SSA Title II benefits paid for the benefit of the child</t>
    </r>
    <r>
      <rPr>
        <sz val="10"/>
        <rFont val="Arial"/>
        <family val="2"/>
      </rPr>
      <t xml:space="preserve"> 
Line 2a for obligor        </t>
    </r>
  </si>
  <si>
    <t xml:space="preserve">     b. Deduction for self-employment tax
         Multiply Line 1a by 7.65% </t>
  </si>
  <si>
    <r>
      <t>Gross monthly income</t>
    </r>
    <r>
      <rPr>
        <sz val="10"/>
        <rFont val="Arial"/>
        <family val="2"/>
      </rPr>
      <t xml:space="preserve">
All sources, except income specifically excluded by 43 O.S. Section 118B(B)</t>
    </r>
  </si>
  <si>
    <t xml:space="preserve">     a. Amount of self-employment income included in Line 1 </t>
  </si>
  <si>
    <r>
      <t xml:space="preserve">Total gross monthly income 
</t>
    </r>
    <r>
      <rPr>
        <sz val="10"/>
        <rFont val="Arial"/>
        <family val="2"/>
      </rPr>
      <t>Line 1 minus Line 1b</t>
    </r>
  </si>
  <si>
    <t xml:space="preserve">     c. Share of adjusted combined child support obligation
         Combined Line 6b multiplied by the percentage share
         of income in Line 4</t>
  </si>
  <si>
    <t xml:space="preserve">     d. Respective adjusted base child support obligation
         Amount for each parent in Line 6c multiplied by the
         percentage of the other parent in Line 6a </t>
  </si>
  <si>
    <r>
      <t>Child care expense percentage share of the total</t>
    </r>
    <r>
      <rPr>
        <sz val="10"/>
        <rFont val="Arial"/>
        <family val="2"/>
      </rPr>
      <t xml:space="preserve">
Total child care expenses multiplied by percentage
share of income for each parent 
Multiply Line 8 by Line 4</t>
    </r>
  </si>
  <si>
    <r>
      <t xml:space="preserve">     b. Number of children from Line 10a included in this order 
</t>
    </r>
    <r>
      <rPr>
        <sz val="10"/>
        <color indexed="10"/>
        <rFont val="Arial"/>
        <family val="2"/>
      </rPr>
      <t xml:space="preserve"> </t>
    </r>
  </si>
  <si>
    <t xml:space="preserve">     c. Parent's actual gross monthly income less self-
         employment tax from Line 2 </t>
  </si>
  <si>
    <t xml:space="preserve">     d. Base monthly obligation of the obligor
         Enter Line 7 for obligor into obligee's column,
        $0 for the obligor indicated in Section C  </t>
  </si>
  <si>
    <t xml:space="preserve">     e. Amount treated as OKDHS household income
         Line 10c plus Line 10d</t>
  </si>
  <si>
    <r>
      <t xml:space="preserve"> </t>
    </r>
    <r>
      <rPr>
        <sz val="10"/>
        <rFont val="Arial"/>
        <family val="2"/>
      </rPr>
      <t xml:space="preserve">    g. OKDHS child care co-payment amount  
         Multiply Line 10f by Line 10b, and divide by Line 10a</t>
    </r>
  </si>
  <si>
    <r>
      <t xml:space="preserve">Child care subsidy co-pay adjustment to child support obligation
</t>
    </r>
    <r>
      <rPr>
        <sz val="10"/>
        <rFont val="Arial"/>
        <family val="2"/>
      </rPr>
      <t xml:space="preserve">Child care expense percentage share total 
Multiply total of Line 10g for both parents by Line 4 </t>
    </r>
  </si>
  <si>
    <r>
      <t>Monthly health insurance share for each parent</t>
    </r>
    <r>
      <rPr>
        <sz val="10"/>
        <rFont val="Arial"/>
        <family val="2"/>
      </rPr>
      <t xml:space="preserve">
Percentage share of income in Line 4 multiplied by
total current insurance cost for all persons in Line 13</t>
    </r>
  </si>
  <si>
    <t>Enter number of children from Line 13 not covered by health insurance.  If none, skip to Line 26.</t>
  </si>
  <si>
    <r>
      <t xml:space="preserve">    a. Child support portion
</t>
    </r>
    <r>
      <rPr>
        <sz val="10"/>
        <rFont val="Arial"/>
        <family val="2"/>
      </rPr>
      <t xml:space="preserve">        If Line 16b is positive, Line 20 for obligor</t>
    </r>
    <r>
      <rPr>
        <b/>
        <sz val="10"/>
        <rFont val="Arial"/>
        <family val="2"/>
      </rPr>
      <t xml:space="preserve">
</t>
    </r>
    <r>
      <rPr>
        <sz val="10"/>
        <rFont val="Arial"/>
        <family val="2"/>
      </rPr>
      <t xml:space="preserve">        If Line 16b is negative, reduce Line 20 by Line 16b
        Enter $0 if negative</t>
    </r>
  </si>
  <si>
    <r>
      <t xml:space="preserve">    c. Ongoing medical costs portion
</t>
    </r>
    <r>
      <rPr>
        <sz val="10"/>
        <rFont val="Arial"/>
        <family val="2"/>
      </rPr>
      <t xml:space="preserve">        If Line 20 is positive, Line 16b for obligor</t>
    </r>
    <r>
      <rPr>
        <b/>
        <sz val="10"/>
        <rFont val="Arial"/>
        <family val="2"/>
      </rPr>
      <t xml:space="preserve">
   </t>
    </r>
    <r>
      <rPr>
        <sz val="10"/>
        <rFont val="Arial"/>
        <family val="2"/>
      </rPr>
      <t xml:space="preserve">     If Line 20 is negative, reduce 16b by Line 20
        Enter $0 if negative </t>
    </r>
  </si>
  <si>
    <t xml:space="preserve">     b. Court ordered support alimony actually paid in a 
         prior case</t>
  </si>
  <si>
    <t xml:space="preserve">     f.  Amount for qualified in-home children. 
         Apply Line 2 for each parent to Child Support
         Guideline Schedule amount using the 
         number of children in Line 2e, and multiply
         guideline amount by 75%  </t>
  </si>
  <si>
    <t xml:space="preserve">     b. Adjusted combined child support obligation
         Adjustment factor is based on the parent 
         with the fewest overnights.  The result in the
         combined column is the combined monthly 
         obligation in Line 5 multiplied by the 
         adjustment factor.</t>
  </si>
  <si>
    <r>
      <t>Adjusted base monthly obligation</t>
    </r>
    <r>
      <rPr>
        <sz val="10"/>
        <rFont val="Arial"/>
        <family val="2"/>
      </rPr>
      <t xml:space="preserve">
Line 6d larger amount minus Line 6d smaller amount and the result is for the parent with the positive amount. If the parent has more than 205 in Line 6, use $0 for that parent.  If either parent has less than 121 in Line 6, use the Line 5 amount for both parents.  </t>
    </r>
  </si>
  <si>
    <r>
      <t>Total child care adjustment to base monthly obligation</t>
    </r>
    <r>
      <rPr>
        <sz val="10"/>
        <rFont val="Arial"/>
        <family val="2"/>
      </rPr>
      <t xml:space="preserve">  
Line 9 plus Line 11, minus Line 8 and Line 10g
(amount may be negative)</t>
    </r>
  </si>
  <si>
    <r>
      <t>Total premium cost adjustment to base monthly obligation</t>
    </r>
    <r>
      <rPr>
        <sz val="10"/>
        <rFont val="Arial"/>
        <family val="2"/>
      </rPr>
      <t xml:space="preserve">
Line 14 minus Line 13  (amount may be negative)  </t>
    </r>
  </si>
  <si>
    <t xml:space="preserve">    a. Adjusted medical costs share  
        Multiply total of Line 16 for all persons by Line 4</t>
  </si>
  <si>
    <t xml:space="preserve">    b. Total ongoing medical costs adjustment to 
        base monthly obligation  
        Line 16a minus Line 16  (amount may be negative)</t>
  </si>
  <si>
    <t xml:space="preserve">    b. Total ongoing visitation costs adjustment to
        base monthly obligation  
        Line 17a minus Line 17  (amount may be negative)</t>
  </si>
  <si>
    <t xml:space="preserve">    a. Adjusted visitation costs share  
        Multiply total of Line 17 for all persons by Line 4</t>
  </si>
  <si>
    <r>
      <t xml:space="preserve">Base monthly child support obligation less adjustments for child care and other contributions
</t>
    </r>
    <r>
      <rPr>
        <sz val="10"/>
        <rFont val="Arial"/>
        <family val="2"/>
      </rPr>
      <t>Add obligor Line 7 to Lines 12, 15 and 17b if positive amounts. Subtract Lines 12, 15 or 17b if negative amounts.</t>
    </r>
  </si>
  <si>
    <r>
      <t xml:space="preserve">Total monthly child support obligation less any 
SSA Title II benefits paid for the benefit of the child 
</t>
    </r>
    <r>
      <rPr>
        <sz val="10"/>
        <rFont val="Arial"/>
        <family val="2"/>
      </rPr>
      <t xml:space="preserve">Line 18 minus Line 19  (amount may be negative) </t>
    </r>
    <r>
      <rPr>
        <b/>
        <sz val="10"/>
        <rFont val="Arial"/>
        <family val="2"/>
      </rPr>
      <t xml:space="preserve">
</t>
    </r>
    <r>
      <rPr>
        <sz val="10"/>
        <rFont val="Arial"/>
        <family val="2"/>
      </rPr>
      <t xml:space="preserve"> </t>
    </r>
  </si>
  <si>
    <r>
      <t xml:space="preserve">Enter the Soonercare or other health care government assistance </t>
    </r>
    <r>
      <rPr>
        <b/>
        <sz val="10"/>
        <rFont val="Arial"/>
        <family val="2"/>
      </rPr>
      <t>applicant</t>
    </r>
    <r>
      <rPr>
        <sz val="10"/>
        <rFont val="Arial"/>
        <family val="2"/>
      </rPr>
      <t xml:space="preserve"> for the child(ren) in this case.  Enter "Father", "Mother", or "other".</t>
    </r>
  </si>
  <si>
    <t>Obligor (person who pays) is
(Enter "Father" or "Mother")</t>
  </si>
  <si>
    <r>
      <t xml:space="preserve">Obligor </t>
    </r>
    <r>
      <rPr>
        <sz val="10"/>
        <rFont val="Arial"/>
        <family val="2"/>
      </rPr>
      <t>(person who pays) is
(Enter "Father" or "Mother")</t>
    </r>
  </si>
  <si>
    <t xml:space="preserve">Attorney for Other Custodian signature and </t>
  </si>
  <si>
    <t>OBA Number</t>
  </si>
  <si>
    <t>State's Attorney, OCSS signature and OBA Number</t>
  </si>
  <si>
    <t>Attorney for father signature and OBA Number</t>
  </si>
  <si>
    <t xml:space="preserve">     a. Amount of SSA Title II benefits paid for the benefit
        of the children.  Do NOT include SSI benefits. (Enter
        in the column for the disabled or retired parent.)</t>
  </si>
  <si>
    <r>
      <t xml:space="preserve">    b. Cash medical portion
   </t>
    </r>
    <r>
      <rPr>
        <sz val="10"/>
        <rFont val="Arial"/>
        <family val="2"/>
      </rPr>
      <t xml:space="preserve">     If Line 20 minus 16b is positive, Line 25 for obligor 
        If Line 20 minus 16b is negative, reduce Line 25 by Line 20
        minus 16b.  Enter $0 if negative </t>
    </r>
  </si>
  <si>
    <r>
      <t xml:space="preserve">Adjusted gross monthly income (AGI)
</t>
    </r>
    <r>
      <rPr>
        <sz val="10"/>
        <rFont val="Arial"/>
        <family val="2"/>
      </rPr>
      <t>Amount in Line 2 plus 2a, minus Lines 2b, 2c, 2d, and 2f</t>
    </r>
  </si>
  <si>
    <r>
      <t xml:space="preserve">Base monthly obligation  
</t>
    </r>
    <r>
      <rPr>
        <sz val="10"/>
        <rFont val="Arial"/>
        <family val="2"/>
      </rPr>
      <t>Apply combined AGI to Child Support Guideline Schedule and put total in combined base monthly obligation.  Multiply the combined total by the percentage share of income for each parent.</t>
    </r>
  </si>
  <si>
    <t xml:space="preserve">     f. Amount treated as each parent's family share
        co-payment from OKDHS Appendix C-4, page 2
        Use Lines 10e &amp; 10a</t>
  </si>
  <si>
    <r>
      <t xml:space="preserve">Cash medical amount for obligor
</t>
    </r>
    <r>
      <rPr>
        <sz val="10"/>
        <rFont val="Arial"/>
        <family val="2"/>
      </rPr>
      <t>If Line 21 is zero or the obligor is the person on Line 22, enter $0 in Line 25.  If Line 21 is greater than zero and the obligor is not the person on Line 22, refer to the Cash Medical Income Guidelines Table.  If the combined income is less than or equal to the amount on the table, enter $0.  If greater, multiply $115 by the number of children in Line 21.  Multiply the combined total by percentage shares from Line 4.</t>
    </r>
  </si>
  <si>
    <r>
      <t>5% of Gross Monthly Income for Obligor</t>
    </r>
    <r>
      <rPr>
        <sz val="10"/>
        <rFont val="Arial"/>
        <family val="2"/>
      </rPr>
      <t xml:space="preserve">
Line 2 of Comp. Form multiplied by 0.05 
This represents the maximum amount of total medical allowed.
</t>
    </r>
    <r>
      <rPr>
        <b/>
        <sz val="10"/>
        <rFont val="Arial"/>
        <family val="2"/>
      </rPr>
      <t xml:space="preserve">      </t>
    </r>
    <r>
      <rPr>
        <sz val="10"/>
        <rFont val="Arial"/>
        <family val="2"/>
      </rPr>
      <t>Note: Medical insurance should
      be reasonable in cost which 
      means it does not exceed 5% 
      of gross monthly income.  
      If Line 13 is greater than Line 24,
      parents may agree to use 
      premium cost or must proceed to 
      Section H. Cash Medical Support. 
      If more than one parent has
      insurance available, the court shall
      give priority to the preference of the
      custodial person.</t>
    </r>
  </si>
  <si>
    <t xml:space="preserve">  13d. Premium cost per child
         Line a minus b, divided by
         Line c  </t>
  </si>
  <si>
    <r>
      <t xml:space="preserve">Monthly health insurance premium costs
</t>
    </r>
    <r>
      <rPr>
        <sz val="10"/>
        <rFont val="Arial"/>
        <family val="2"/>
      </rPr>
      <t>Line 13d multiplied by Line 13e</t>
    </r>
  </si>
  <si>
    <r>
      <t>Monthly health insurance share for each parent</t>
    </r>
    <r>
      <rPr>
        <sz val="10"/>
        <rFont val="Arial"/>
        <family val="2"/>
      </rPr>
      <t xml:space="preserve">
Percentage share of income in Line 4 multiplied by total current insurance cost for all persons in Line 13</t>
    </r>
  </si>
  <si>
    <r>
      <t>Cash medical support in lieu of insurance</t>
    </r>
    <r>
      <rPr>
        <sz val="10"/>
        <rFont val="Arial"/>
        <family val="2"/>
      </rPr>
      <t xml:space="preserve"> 
If Line 23 plus Line 15 is greater than Line 24, use Line 24 minus 
Line 15.  If Line 23 plus Line 15 is less than or equal to Line 24, 
enter Line 23.  Enter $0 if negative </t>
    </r>
  </si>
  <si>
    <t>For each child over 7, add $577 per month</t>
  </si>
  <si>
    <t xml:space="preserve">     d. Court ordered monthly child support actually paid for
         qualified out-of-home children</t>
  </si>
  <si>
    <t>Enter the number of children in this case</t>
  </si>
  <si>
    <t xml:space="preserve">Enter the amount of self-employment income included in the gross monthly income </t>
  </si>
  <si>
    <t>Enter the court ordered support alimony actually paid in a prior case</t>
  </si>
  <si>
    <t>Enter the court ordered monthly adjustment for marital debt</t>
  </si>
  <si>
    <t>Enter the court ordered monthly child support actually paid for qualified out-of-home children</t>
  </si>
  <si>
    <t xml:space="preserve">Enter the number of qualified in-home children excluding children on this case  </t>
  </si>
  <si>
    <t>Calculated amount of deduction for qualified in-home children using the number of qualified in-home children</t>
  </si>
  <si>
    <t xml:space="preserve">Calculated percentage of overnights with each parent </t>
  </si>
  <si>
    <t>Adjustment factor to be used for shared parenting</t>
  </si>
  <si>
    <t>Calculated share of adjusted combined child support obligation</t>
  </si>
  <si>
    <t>Calculated respective adjusted base child support obligation</t>
  </si>
  <si>
    <t xml:space="preserve">Calculated percentage share of income
</t>
  </si>
  <si>
    <t>Enter gross monthly income
All sources, except income specifically excluded by 43 O.S. Section 118B(B)</t>
  </si>
  <si>
    <t>Description of information or instruction</t>
  </si>
  <si>
    <t>Info for calculation</t>
  </si>
  <si>
    <t>Total children in each parent's household receiving child care subsidy</t>
  </si>
  <si>
    <r>
      <t xml:space="preserve">Enter the number of children included in this order from each parent's household receiving child care subsidy. 
</t>
    </r>
    <r>
      <rPr>
        <sz val="10"/>
        <color indexed="10"/>
        <rFont val="Arial"/>
        <family val="2"/>
      </rPr>
      <t xml:space="preserve"> </t>
    </r>
  </si>
  <si>
    <t xml:space="preserve">Enter parent's actual gross monthly income less self-employment tax  </t>
  </si>
  <si>
    <t>Deduction for self-employment tax</t>
  </si>
  <si>
    <t>Base monthly obligation of the obligor</t>
  </si>
  <si>
    <t xml:space="preserve">Amount treated as each parent's family share co-payment </t>
  </si>
  <si>
    <r>
      <t>Child care subsidy co-pay adjustment to child support obligation</t>
    </r>
    <r>
      <rPr>
        <b/>
        <sz val="10"/>
        <rFont val="Arial"/>
        <family val="2"/>
      </rPr>
      <t xml:space="preserve">
</t>
    </r>
    <r>
      <rPr>
        <sz val="10"/>
        <rFont val="Arial"/>
        <family val="2"/>
      </rPr>
      <t xml:space="preserve">Child care expense percentage share total </t>
    </r>
  </si>
  <si>
    <t xml:space="preserve">Total child care adjustment to base monthly obligation  </t>
  </si>
  <si>
    <t>Enter monthly health insurance premium costs
This premium represents the actual premium cost for any child(ren) in this case only.  Insurance Premium Worksheet is available if needed.    
Use Cash Medical Support if any child is not covered by insurance.</t>
  </si>
  <si>
    <t>Monthly health insurance share for each parent</t>
  </si>
  <si>
    <t xml:space="preserve">Total premium cost adjustment to base monthly obligation  </t>
  </si>
  <si>
    <t xml:space="preserve">Adjusted medical costs share  </t>
  </si>
  <si>
    <t xml:space="preserve">Total ongoing medical costs adjustment to base monthly obligation  </t>
  </si>
  <si>
    <r>
      <t>Enter ongoing medical costs</t>
    </r>
    <r>
      <rPr>
        <b/>
        <sz val="10"/>
        <rFont val="Arial"/>
        <family val="2"/>
      </rPr>
      <t xml:space="preserve">
</t>
    </r>
    <r>
      <rPr>
        <sz val="10"/>
        <rFont val="Arial"/>
        <family val="2"/>
      </rPr>
      <t>Cash medical support for fixed periodic payments for ongoing medical costs</t>
    </r>
  </si>
  <si>
    <t xml:space="preserve">Total ongoing visitation costs adjustment to base monthly obligation  </t>
  </si>
  <si>
    <t xml:space="preserve">Adjusted visitation costs share  </t>
  </si>
  <si>
    <r>
      <t>Enter visitation transportation costs</t>
    </r>
    <r>
      <rPr>
        <strike/>
        <sz val="10"/>
        <rFont val="Arial"/>
        <family val="2"/>
      </rPr>
      <t xml:space="preserve"> </t>
    </r>
  </si>
  <si>
    <t xml:space="preserve">Enter number of children not covered by health insurance. </t>
  </si>
  <si>
    <r>
      <t xml:space="preserve">Enter the Soonercare or other health care government assistance </t>
    </r>
    <r>
      <rPr>
        <b/>
        <sz val="10"/>
        <rFont val="Arial"/>
        <family val="2"/>
      </rPr>
      <t>applicant</t>
    </r>
    <r>
      <rPr>
        <sz val="10"/>
        <rFont val="Arial"/>
        <family val="2"/>
      </rPr>
      <t xml:space="preserve"> for the child(ren) in this case not covered by insurance.  Enter "Father", "Mother", or "other".</t>
    </r>
  </si>
  <si>
    <t>Cash medical amount for obligor</t>
  </si>
  <si>
    <t>5% of Gross Monthly Income for Obligor
This represents the maximum amount of total medical allowed.</t>
  </si>
  <si>
    <t xml:space="preserve">Cash medical support in lieu of insurance  </t>
  </si>
  <si>
    <r>
      <t>Enter the amount of S</t>
    </r>
    <r>
      <rPr>
        <sz val="1"/>
        <rFont val="Arial"/>
        <family val="2"/>
      </rPr>
      <t>.</t>
    </r>
    <r>
      <rPr>
        <sz val="10"/>
        <rFont val="Arial"/>
        <family val="2"/>
      </rPr>
      <t>S</t>
    </r>
    <r>
      <rPr>
        <sz val="1"/>
        <rFont val="Arial"/>
        <family val="2"/>
      </rPr>
      <t>.</t>
    </r>
    <r>
      <rPr>
        <sz val="10"/>
        <rFont val="Arial"/>
        <family val="2"/>
      </rPr>
      <t>A</t>
    </r>
    <r>
      <rPr>
        <sz val="1"/>
        <rFont val="Arial"/>
        <family val="2"/>
      </rPr>
      <t>.</t>
    </r>
    <r>
      <rPr>
        <sz val="10"/>
        <rFont val="Arial"/>
        <family val="2"/>
      </rPr>
      <t xml:space="preserve"> Title II benefits paid for the benefit of the children.  Do NOT include S</t>
    </r>
    <r>
      <rPr>
        <sz val="1"/>
        <rFont val="Arial"/>
        <family val="2"/>
      </rPr>
      <t>.</t>
    </r>
    <r>
      <rPr>
        <sz val="10"/>
        <rFont val="Arial"/>
        <family val="2"/>
      </rPr>
      <t>S</t>
    </r>
    <r>
      <rPr>
        <sz val="1"/>
        <rFont val="Arial"/>
        <family val="2"/>
      </rPr>
      <t>.</t>
    </r>
    <r>
      <rPr>
        <sz val="10"/>
        <rFont val="Arial"/>
        <family val="2"/>
      </rPr>
      <t>I</t>
    </r>
    <r>
      <rPr>
        <sz val="1"/>
        <rFont val="Arial"/>
        <family val="2"/>
      </rPr>
      <t>.</t>
    </r>
    <r>
      <rPr>
        <sz val="10"/>
        <rFont val="Arial"/>
        <family val="2"/>
      </rPr>
      <t xml:space="preserve"> benefits. (Enter in the column for the disabled or retired parent.)</t>
    </r>
  </si>
  <si>
    <t>Child care expense percentage share of the total</t>
  </si>
  <si>
    <t>Other</t>
  </si>
  <si>
    <t>Enter Style Line 1</t>
  </si>
  <si>
    <t>Enter Style Line 2</t>
  </si>
  <si>
    <t>Enter Style Line 3</t>
  </si>
  <si>
    <t>Enter Style Line 4</t>
  </si>
  <si>
    <t>Enter Style Line 5</t>
  </si>
  <si>
    <t>Enter District Court Case Number</t>
  </si>
  <si>
    <r>
      <t>Enter O.A.H</t>
    </r>
    <r>
      <rPr>
        <sz val="1"/>
        <rFont val="Arial"/>
        <family val="2"/>
      </rPr>
      <t>.</t>
    </r>
    <r>
      <rPr>
        <sz val="10"/>
        <rFont val="Arial"/>
        <family val="0"/>
      </rPr>
      <t xml:space="preserve"> Case Number</t>
    </r>
  </si>
  <si>
    <t>Enter Family Group Number</t>
  </si>
  <si>
    <t>Enter District Court County</t>
  </si>
  <si>
    <t>Information for legal style</t>
  </si>
  <si>
    <t>ADAIR</t>
  </si>
  <si>
    <t xml:space="preserve">ALFALFA  </t>
  </si>
  <si>
    <t xml:space="preserve">ATOKA    </t>
  </si>
  <si>
    <t xml:space="preserve">BEAVER   </t>
  </si>
  <si>
    <t xml:space="preserve">BECKHAM  </t>
  </si>
  <si>
    <t xml:space="preserve">BLAINE   </t>
  </si>
  <si>
    <t xml:space="preserve">BRYAN    </t>
  </si>
  <si>
    <t xml:space="preserve">CADDO    </t>
  </si>
  <si>
    <t xml:space="preserve">CANADIAN </t>
  </si>
  <si>
    <t xml:space="preserve">CARTER   </t>
  </si>
  <si>
    <t xml:space="preserve">CHOCTAW   </t>
  </si>
  <si>
    <t xml:space="preserve">CIMARRON  </t>
  </si>
  <si>
    <t xml:space="preserve">CLEVELAND </t>
  </si>
  <si>
    <t xml:space="preserve">COAL      </t>
  </si>
  <si>
    <t xml:space="preserve">COMANCHE  </t>
  </si>
  <si>
    <t xml:space="preserve">COTTON    </t>
  </si>
  <si>
    <t xml:space="preserve">CRAIG     </t>
  </si>
  <si>
    <t xml:space="preserve">CREEK     </t>
  </si>
  <si>
    <t xml:space="preserve">CUSTER    </t>
  </si>
  <si>
    <t xml:space="preserve">DELAWARE  </t>
  </si>
  <si>
    <t xml:space="preserve">DEWEY     </t>
  </si>
  <si>
    <t xml:space="preserve">ELLIS     </t>
  </si>
  <si>
    <t xml:space="preserve">GARFIELD  </t>
  </si>
  <si>
    <t xml:space="preserve">GARVIN    </t>
  </si>
  <si>
    <t xml:space="preserve">GRADY     </t>
  </si>
  <si>
    <t xml:space="preserve">GRANT     </t>
  </si>
  <si>
    <t xml:space="preserve">GREER     </t>
  </si>
  <si>
    <t xml:space="preserve">HARMON    </t>
  </si>
  <si>
    <t xml:space="preserve">HARPER    </t>
  </si>
  <si>
    <t xml:space="preserve">HASKELL   </t>
  </si>
  <si>
    <t xml:space="preserve">HUGHES    </t>
  </si>
  <si>
    <t xml:space="preserve">JACKSON   </t>
  </si>
  <si>
    <t xml:space="preserve">JEFFERSON </t>
  </si>
  <si>
    <t xml:space="preserve">JOHNSTON  </t>
  </si>
  <si>
    <t xml:space="preserve">KAY       </t>
  </si>
  <si>
    <t>KINGFISHER</t>
  </si>
  <si>
    <t xml:space="preserve">KIOWA     </t>
  </si>
  <si>
    <t xml:space="preserve">LATIMER   </t>
  </si>
  <si>
    <t xml:space="preserve">LEFLORE   </t>
  </si>
  <si>
    <t xml:space="preserve">LINCOLN   </t>
  </si>
  <si>
    <t xml:space="preserve">LOGAN     </t>
  </si>
  <si>
    <t xml:space="preserve">LOVE      </t>
  </si>
  <si>
    <t xml:space="preserve">MCCLAIN   </t>
  </si>
  <si>
    <t xml:space="preserve">MCCURTAIN </t>
  </si>
  <si>
    <t xml:space="preserve">MCINTOSH  </t>
  </si>
  <si>
    <t xml:space="preserve">MAJOR     </t>
  </si>
  <si>
    <t xml:space="preserve">MARSHALL  </t>
  </si>
  <si>
    <t xml:space="preserve">MAYES     </t>
  </si>
  <si>
    <t xml:space="preserve">MURRAY      </t>
  </si>
  <si>
    <t xml:space="preserve">MUSKOGEE    </t>
  </si>
  <si>
    <t xml:space="preserve">NOBLE       </t>
  </si>
  <si>
    <t xml:space="preserve">NOWATA      </t>
  </si>
  <si>
    <t xml:space="preserve">OKFUSKEE    </t>
  </si>
  <si>
    <t xml:space="preserve">OKLAHOMA    </t>
  </si>
  <si>
    <t xml:space="preserve">OKMULGEE    </t>
  </si>
  <si>
    <t xml:space="preserve">OSAGE       </t>
  </si>
  <si>
    <t xml:space="preserve">OTTAWA      </t>
  </si>
  <si>
    <t xml:space="preserve">PAWNEE      </t>
  </si>
  <si>
    <t xml:space="preserve">PAYNE       </t>
  </si>
  <si>
    <t xml:space="preserve">PITTSBURG   </t>
  </si>
  <si>
    <t xml:space="preserve">PONTOTOC    </t>
  </si>
  <si>
    <t>POTTAWATOMIE</t>
  </si>
  <si>
    <t xml:space="preserve">PUSHMATAHA  </t>
  </si>
  <si>
    <t xml:space="preserve">ROGER MILLS </t>
  </si>
  <si>
    <t xml:space="preserve">ROGERS      </t>
  </si>
  <si>
    <t xml:space="preserve">SEMINOLE    </t>
  </si>
  <si>
    <t xml:space="preserve">SEQUOYAH    </t>
  </si>
  <si>
    <t xml:space="preserve">STEPHENS   </t>
  </si>
  <si>
    <t xml:space="preserve">TEXAS      </t>
  </si>
  <si>
    <t xml:space="preserve">TILLMAN    </t>
  </si>
  <si>
    <t xml:space="preserve">TULSA      </t>
  </si>
  <si>
    <t xml:space="preserve">WAGONER    </t>
  </si>
  <si>
    <t xml:space="preserve">WASHINGTON </t>
  </si>
  <si>
    <t xml:space="preserve">WASHITA    </t>
  </si>
  <si>
    <t xml:space="preserve">WOODS      </t>
  </si>
  <si>
    <t xml:space="preserve">WOODWARD   </t>
  </si>
  <si>
    <t>ADMINISTRATIVE REVIEW</t>
  </si>
  <si>
    <t>Were guidelines followed?</t>
  </si>
  <si>
    <t>Was there a deviation from child support guidelines by Court-Specific findings of Court supporting each deviation?</t>
  </si>
  <si>
    <t>Enter the date</t>
  </si>
  <si>
    <t>Enter the Father's name</t>
  </si>
  <si>
    <t>Enter the Father's attorney's name</t>
  </si>
  <si>
    <t>Enter the Mother's name</t>
  </si>
  <si>
    <t>Enter the Mother's attorney's name</t>
  </si>
  <si>
    <t>Enter the name of Other custodian</t>
  </si>
  <si>
    <t>Enter the name of Other custodian's attorney</t>
  </si>
  <si>
    <t>Enter the State's attorney, OCSS</t>
  </si>
  <si>
    <t>Enter who should begin payments</t>
  </si>
  <si>
    <t>Enter the date payments begin</t>
  </si>
  <si>
    <t>Enter deviation description Line 1</t>
  </si>
  <si>
    <t>Enter deviation description Line 2</t>
  </si>
  <si>
    <t>Enter deviation description Line 3</t>
  </si>
  <si>
    <t>CHILD SUPPORT COMPUTATION LEGAL STYLE (OPTIONAL)</t>
  </si>
  <si>
    <t xml:space="preserve">Enter cost of insurance for adults only </t>
  </si>
  <si>
    <t>Premium cost per child</t>
  </si>
  <si>
    <t xml:space="preserve">Enter the number of children on this order.  </t>
  </si>
  <si>
    <t>Monthly health insurance premium cost result</t>
  </si>
  <si>
    <t>___________________________________________</t>
  </si>
  <si>
    <t>__________________________________</t>
  </si>
  <si>
    <t>______________________________</t>
  </si>
  <si>
    <t xml:space="preserve">OKLAHOMA CASH MEDICAL INCOME GUIDELINES TABLE </t>
  </si>
  <si>
    <r>
      <t xml:space="preserve">              </t>
    </r>
    <r>
      <rPr>
        <b/>
        <sz val="12"/>
        <color indexed="8"/>
        <rFont val="Helv"/>
        <family val="0"/>
      </rPr>
      <t xml:space="preserve">OKLAHOMA CASH MEDICAL INCOME GUIDELINES TABLE          </t>
    </r>
    <r>
      <rPr>
        <b/>
        <sz val="9"/>
        <color indexed="8"/>
        <rFont val="Helv"/>
        <family val="0"/>
      </rPr>
      <t xml:space="preserve"> Eff. July 1, 2009
The following table reflects 185% of the Federal Poverty Guidelines as of April 1, 2009.  If the combined income of the parents as shown on the Child Support Computation and the total number of children in the case being considered is at or below the amounts on the table, cash medical support will be established at $0.00.  If the combined income exceeds the amount listed on the table for the number of children, the cash medical support obligation will be $115.00 per child for the children not covered by health insurance, pro rated by the income of the parents.  The obligor's share of the cash medical order should not exceed 5% of the gross income of the obligor.  </t>
    </r>
  </si>
  <si>
    <t>each month until further order of the court.</t>
  </si>
  <si>
    <t>Use this form to compute the actual monthly premium for the children in the case.
“Accessible” means there are available providers to meet the primary individual health care needs of the child(ren) no more than sixty (60) miles one way from the primary residence of the child(ren).  You may not wish to use the insurance premium amount if the coverage does not meet this standard.</t>
  </si>
  <si>
    <t>Gross monthly income less any self-employment tax*</t>
  </si>
  <si>
    <t xml:space="preserve">Calculated adjusted gross monthly income* </t>
  </si>
  <si>
    <t xml:space="preserve">Calculated base monthly obligation*  </t>
  </si>
  <si>
    <t>Calculated adjusted base monthly obligation because of shared parenting*</t>
  </si>
  <si>
    <t>Base monthly child support obligation less adjustments for child care and other contributions*</t>
  </si>
  <si>
    <t>Child support portion*</t>
  </si>
  <si>
    <t>Cash medical portion*</t>
  </si>
  <si>
    <t>Ongoing medical costs portion*</t>
  </si>
  <si>
    <t>Total obligation to be paid by the obligor*</t>
  </si>
  <si>
    <t>Press Reset button or Control-r to reset calculations</t>
  </si>
  <si>
    <r>
      <t>Enter monthly child care expenses for children in this case.</t>
    </r>
    <r>
      <rPr>
        <b/>
        <sz val="10"/>
        <rFont val="Arial"/>
        <family val="2"/>
      </rPr>
      <t xml:space="preserve">  </t>
    </r>
    <r>
      <rPr>
        <sz val="10"/>
        <rFont val="Arial"/>
        <family val="2"/>
      </rPr>
      <t>Do not include any co-payments being paid by a parent receiving O</t>
    </r>
    <r>
      <rPr>
        <sz val="1"/>
        <rFont val="Arial"/>
        <family val="2"/>
      </rPr>
      <t>.</t>
    </r>
    <r>
      <rPr>
        <sz val="10"/>
        <rFont val="Arial"/>
        <family val="2"/>
      </rPr>
      <t>K</t>
    </r>
    <r>
      <rPr>
        <sz val="1"/>
        <rFont val="Arial"/>
        <family val="2"/>
      </rPr>
      <t>.</t>
    </r>
    <r>
      <rPr>
        <sz val="10"/>
        <rFont val="Arial"/>
        <family val="2"/>
      </rPr>
      <t>D</t>
    </r>
    <r>
      <rPr>
        <sz val="1"/>
        <rFont val="Arial"/>
        <family val="2"/>
      </rPr>
      <t>.</t>
    </r>
    <r>
      <rPr>
        <sz val="10"/>
        <rFont val="Arial"/>
        <family val="2"/>
      </rPr>
      <t>H</t>
    </r>
    <r>
      <rPr>
        <sz val="1"/>
        <rFont val="Arial"/>
        <family val="2"/>
      </rPr>
      <t>.</t>
    </r>
    <r>
      <rPr>
        <sz val="10"/>
        <rFont val="Arial"/>
        <family val="2"/>
      </rPr>
      <t>S</t>
    </r>
    <r>
      <rPr>
        <sz val="1"/>
        <rFont val="Arial"/>
        <family val="2"/>
      </rPr>
      <t>.</t>
    </r>
    <r>
      <rPr>
        <sz val="10"/>
        <rFont val="Arial"/>
        <family val="2"/>
      </rPr>
      <t xml:space="preserve"> child care subsidy.</t>
    </r>
  </si>
  <si>
    <r>
      <t>Total monthly child support obligation less any 
S</t>
    </r>
    <r>
      <rPr>
        <sz val="1"/>
        <rFont val="Arial"/>
        <family val="2"/>
      </rPr>
      <t>.</t>
    </r>
    <r>
      <rPr>
        <sz val="10"/>
        <rFont val="Arial"/>
        <family val="2"/>
      </rPr>
      <t>S</t>
    </r>
    <r>
      <rPr>
        <sz val="1"/>
        <rFont val="Arial"/>
        <family val="2"/>
      </rPr>
      <t>.</t>
    </r>
    <r>
      <rPr>
        <sz val="10"/>
        <rFont val="Arial"/>
        <family val="2"/>
      </rPr>
      <t>A</t>
    </r>
    <r>
      <rPr>
        <sz val="1"/>
        <rFont val="Arial"/>
        <family val="2"/>
      </rPr>
      <t>.</t>
    </r>
    <r>
      <rPr>
        <sz val="10"/>
        <rFont val="Arial"/>
        <family val="2"/>
      </rPr>
      <t xml:space="preserve"> Title II benefits paid for the benefit of the child  </t>
    </r>
  </si>
  <si>
    <r>
      <t>S</t>
    </r>
    <r>
      <rPr>
        <sz val="1"/>
        <rFont val="Arial"/>
        <family val="2"/>
      </rPr>
      <t>.</t>
    </r>
    <r>
      <rPr>
        <sz val="10"/>
        <rFont val="Arial"/>
        <family val="2"/>
      </rPr>
      <t>S</t>
    </r>
    <r>
      <rPr>
        <sz val="1"/>
        <rFont val="Arial"/>
        <family val="2"/>
      </rPr>
      <t>.</t>
    </r>
    <r>
      <rPr>
        <sz val="10"/>
        <rFont val="Arial"/>
        <family val="2"/>
      </rPr>
      <t>A</t>
    </r>
    <r>
      <rPr>
        <sz val="1"/>
        <rFont val="Arial"/>
        <family val="2"/>
      </rPr>
      <t>.</t>
    </r>
    <r>
      <rPr>
        <sz val="10"/>
        <rFont val="Arial"/>
        <family val="2"/>
      </rPr>
      <t xml:space="preserve"> Title II benefits paid for the benefit of the child        </t>
    </r>
  </si>
  <si>
    <r>
      <t>Press Print button or Control-p</t>
    </r>
    <r>
      <rPr>
        <sz val="1"/>
        <rFont val="Arial"/>
        <family val="2"/>
      </rPr>
      <t>.</t>
    </r>
    <r>
      <rPr>
        <sz val="10"/>
        <rFont val="Arial"/>
        <family val="2"/>
      </rPr>
      <t xml:space="preserve"> to print completed guidelines form</t>
    </r>
  </si>
  <si>
    <r>
      <t>O</t>
    </r>
    <r>
      <rPr>
        <sz val="1"/>
        <rFont val="Arial"/>
        <family val="2"/>
      </rPr>
      <t>.</t>
    </r>
    <r>
      <rPr>
        <sz val="10"/>
        <rFont val="Arial"/>
        <family val="2"/>
      </rPr>
      <t>K</t>
    </r>
    <r>
      <rPr>
        <sz val="1"/>
        <rFont val="Arial"/>
        <family val="2"/>
      </rPr>
      <t>.</t>
    </r>
    <r>
      <rPr>
        <sz val="10"/>
        <rFont val="Arial"/>
        <family val="2"/>
      </rPr>
      <t>D</t>
    </r>
    <r>
      <rPr>
        <sz val="1"/>
        <rFont val="Arial"/>
        <family val="2"/>
      </rPr>
      <t>.</t>
    </r>
    <r>
      <rPr>
        <sz val="10"/>
        <rFont val="Arial"/>
        <family val="2"/>
      </rPr>
      <t>H</t>
    </r>
    <r>
      <rPr>
        <sz val="1"/>
        <rFont val="Arial"/>
        <family val="2"/>
      </rPr>
      <t>.</t>
    </r>
    <r>
      <rPr>
        <sz val="10"/>
        <rFont val="Arial"/>
        <family val="2"/>
      </rPr>
      <t>S</t>
    </r>
    <r>
      <rPr>
        <sz val="1"/>
        <rFont val="Arial"/>
        <family val="2"/>
      </rPr>
      <t>.</t>
    </r>
    <r>
      <rPr>
        <sz val="10"/>
        <rFont val="Arial"/>
        <family val="2"/>
      </rPr>
      <t xml:space="preserve"> child care co-payment amount  </t>
    </r>
  </si>
  <si>
    <r>
      <t>Amount treated as O</t>
    </r>
    <r>
      <rPr>
        <sz val="1"/>
        <rFont val="Arial"/>
        <family val="2"/>
      </rPr>
      <t>.</t>
    </r>
    <r>
      <rPr>
        <sz val="10"/>
        <rFont val="Arial"/>
        <family val="2"/>
      </rPr>
      <t>K</t>
    </r>
    <r>
      <rPr>
        <sz val="1"/>
        <rFont val="Arial"/>
        <family val="2"/>
      </rPr>
      <t>.</t>
    </r>
    <r>
      <rPr>
        <sz val="10"/>
        <rFont val="Arial"/>
        <family val="2"/>
      </rPr>
      <t>D</t>
    </r>
    <r>
      <rPr>
        <sz val="1"/>
        <rFont val="Arial"/>
        <family val="2"/>
      </rPr>
      <t>.</t>
    </r>
    <r>
      <rPr>
        <sz val="10"/>
        <rFont val="Arial"/>
        <family val="2"/>
      </rPr>
      <t>H</t>
    </r>
    <r>
      <rPr>
        <sz val="1"/>
        <rFont val="Arial"/>
        <family val="2"/>
      </rPr>
      <t>.</t>
    </r>
    <r>
      <rPr>
        <sz val="10"/>
        <rFont val="Arial"/>
        <family val="2"/>
      </rPr>
      <t>S</t>
    </r>
    <r>
      <rPr>
        <sz val="1"/>
        <rFont val="Arial"/>
        <family val="2"/>
      </rPr>
      <t>.</t>
    </r>
    <r>
      <rPr>
        <sz val="10"/>
        <rFont val="Arial"/>
        <family val="2"/>
      </rPr>
      <t xml:space="preserve"> household income</t>
    </r>
  </si>
  <si>
    <t xml:space="preserve">Enter the number of dependent 
children being covered.  </t>
  </si>
  <si>
    <t>Attorney for mother signature and OBA Number</t>
  </si>
  <si>
    <t>Enter the actual monthly health insurance premium cost paid by parent or other custodian.</t>
  </si>
  <si>
    <t xml:space="preserve">
CHILD SUPPORT COMPUTATION
Use the Tab key to navigate to entry fields.  Each entry field will provide instructions on what to enter and whether or not it is required.  The Tab navigation will not include Column A.  Column B allows for entry of number of children or responsible person only when applicable.  Column C used for the Father's information when available.  Column D is used for the Mother's information when available.  Column E is for entry of Other custodian's information when applicable.  To reset and initialize this form for entry of a new calculation, press control r.  To print the legal style of this form, press control p.  
</t>
  </si>
  <si>
    <t>Administrative Review</t>
  </si>
  <si>
    <r>
      <t xml:space="preserve"> 
                                 INSURANCE PREMIUM WORKSHEET
</t>
    </r>
    <r>
      <rPr>
        <sz val="10"/>
        <rFont val="Arial"/>
        <family val="2"/>
      </rPr>
      <t>Use this form to compute the actual monthly premium for the children in the case.
“Accessible” means there are available providers to meet the primary individual health care needs of the child(ren) no more than sixty (60) miles one way from the primary residence of the child(ren).  You may not wish to use the insurance premium amount if the coverage does not meet this standard.
This sheet is optional.  Use the Tab key to navigate to the entry fields.  Entry fields will have instructions on what to enter.</t>
    </r>
  </si>
  <si>
    <r>
      <t xml:space="preserve">Enter Obligor </t>
    </r>
    <r>
      <rPr>
        <sz val="10"/>
        <rFont val="Arial"/>
        <family val="2"/>
      </rPr>
      <t>(person who pays) 
(Enter "Father" or "Mother")</t>
    </r>
  </si>
  <si>
    <t>Enter number of overnights for each parent
If less than 121 for either parent, skip this entry.</t>
  </si>
  <si>
    <t>5% of Gross Monthly Income for Obligor*
This represents the maximum amount of total medical allowed.
Note: Medical insurance should be reasonable in cost which means it does not exceed 5% of gross monthly income.  
If  the monthly health insurance share for each parent is greater than 5%, parents may agree to use premium cost or must proceed to Cash Medical Support. 
If more than one parent has insurance available, the court shall give priority to preference of the custodial person.</t>
  </si>
  <si>
    <t xml:space="preserve">
CHILD SUPPORT COMPUTATION NAMES AND SIGNATURE LINES (OPTIONAL)
Entry information will print exactly as entered on the guideline.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</si>
</sst>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
    <numFmt numFmtId="167" formatCode="&quot;$&quot;#,##0"/>
    <numFmt numFmtId="168" formatCode="0.00_)"/>
    <numFmt numFmtId="169" formatCode="0_)"/>
    <numFmt numFmtId="170" formatCode="0.0000_)"/>
    <numFmt numFmtId="171" formatCode="m/d"/>
    <numFmt numFmtId="172" formatCode="mm/dd/yy"/>
    <numFmt numFmtId="173" formatCode="0.000%"/>
    <numFmt numFmtId="174" formatCode="0.00000000"/>
    <numFmt numFmtId="175" formatCode="General_)"/>
    <numFmt numFmtId="176" formatCode="0.0000"/>
    <numFmt numFmtId="177" formatCode="\(General_)"/>
    <numFmt numFmtId="178" formatCode="\(General\)_)"/>
    <numFmt numFmtId="179" formatCode="\(&quot;$&quot;General\)_)"/>
    <numFmt numFmtId="180" formatCode="&quot;$&quot;#,##0.0"/>
    <numFmt numFmtId="181" formatCode="0.00000%"/>
    <numFmt numFmtId="182" formatCode="&quot;$&quot;#,##0.00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quot;$&quot;#"/>
  </numFmts>
  <fonts count="29">
    <font>
      <sz val="10"/>
      <name val="Arial"/>
      <family val="0"/>
    </font>
    <font>
      <b/>
      <sz val="10"/>
      <name val="Arial"/>
      <family val="2"/>
    </font>
    <font>
      <sz val="8"/>
      <name val="Arial"/>
      <family val="0"/>
    </font>
    <font>
      <b/>
      <sz val="10"/>
      <color indexed="10"/>
      <name val="Arial"/>
      <family val="2"/>
    </font>
    <font>
      <b/>
      <u val="single"/>
      <sz val="10"/>
      <color indexed="10"/>
      <name val="Arial"/>
      <family val="2"/>
    </font>
    <font>
      <u val="single"/>
      <sz val="10"/>
      <name val="Arial"/>
      <family val="2"/>
    </font>
    <font>
      <b/>
      <sz val="8"/>
      <name val="Arial"/>
      <family val="2"/>
    </font>
    <font>
      <u val="single"/>
      <sz val="10"/>
      <color indexed="12"/>
      <name val="Arial"/>
      <family val="0"/>
    </font>
    <font>
      <u val="single"/>
      <sz val="10"/>
      <color indexed="36"/>
      <name val="Arial"/>
      <family val="0"/>
    </font>
    <font>
      <sz val="10"/>
      <name val="Courier"/>
      <family val="0"/>
    </font>
    <font>
      <b/>
      <sz val="10"/>
      <color indexed="8"/>
      <name val="Helvetica Narrow"/>
      <family val="2"/>
    </font>
    <font>
      <b/>
      <sz val="10"/>
      <color indexed="8"/>
      <name val="Courier"/>
      <family val="0"/>
    </font>
    <font>
      <b/>
      <sz val="14"/>
      <color indexed="8"/>
      <name val="Helv"/>
      <family val="0"/>
    </font>
    <font>
      <b/>
      <sz val="12"/>
      <color indexed="8"/>
      <name val="Helv"/>
      <family val="0"/>
    </font>
    <font>
      <sz val="12"/>
      <name val="Helv"/>
      <family val="0"/>
    </font>
    <font>
      <b/>
      <sz val="9"/>
      <color indexed="8"/>
      <name val="Helv"/>
      <family val="0"/>
    </font>
    <font>
      <b/>
      <sz val="8"/>
      <color indexed="8"/>
      <name val="Helv"/>
      <family val="0"/>
    </font>
    <font>
      <sz val="8"/>
      <color indexed="8"/>
      <name val="Helv"/>
      <family val="0"/>
    </font>
    <font>
      <sz val="9"/>
      <color indexed="8"/>
      <name val="Helv"/>
      <family val="0"/>
    </font>
    <font>
      <b/>
      <sz val="10"/>
      <name val="Helv"/>
      <family val="0"/>
    </font>
    <font>
      <sz val="10"/>
      <name val="Helv"/>
      <family val="0"/>
    </font>
    <font>
      <sz val="12"/>
      <name val="Arial"/>
      <family val="2"/>
    </font>
    <font>
      <strike/>
      <sz val="10"/>
      <name val="Arial"/>
      <family val="2"/>
    </font>
    <font>
      <sz val="10"/>
      <color indexed="10"/>
      <name val="Arial"/>
      <family val="2"/>
    </font>
    <font>
      <b/>
      <sz val="8"/>
      <name val="Helv"/>
      <family val="0"/>
    </font>
    <font>
      <b/>
      <sz val="12"/>
      <name val="Arial"/>
      <family val="2"/>
    </font>
    <font>
      <sz val="1"/>
      <name val="Arial"/>
      <family val="2"/>
    </font>
    <font>
      <u val="single"/>
      <sz val="8"/>
      <name val="Arial"/>
      <family val="2"/>
    </font>
    <font>
      <sz val="10"/>
      <color indexed="8"/>
      <name val="Times New Roman"/>
      <family val="1"/>
    </font>
  </fonts>
  <fills count="11">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gray125">
        <bgColor indexed="9"/>
      </patternFill>
    </fill>
    <fill>
      <patternFill patternType="solid">
        <fgColor indexed="65"/>
        <bgColor indexed="64"/>
      </patternFill>
    </fill>
    <fill>
      <patternFill patternType="lightGray"/>
    </fill>
    <fill>
      <patternFill patternType="solid">
        <fgColor indexed="22"/>
        <bgColor indexed="64"/>
      </patternFill>
    </fill>
    <fill>
      <patternFill patternType="solid">
        <fgColor indexed="27"/>
        <bgColor indexed="64"/>
      </patternFill>
    </fill>
  </fills>
  <borders count="103">
    <border>
      <left/>
      <right/>
      <top/>
      <bottom/>
      <diagonal/>
    </border>
    <border>
      <left style="double"/>
      <right style="thin"/>
      <top style="thin"/>
      <bottom style="thin"/>
    </border>
    <border>
      <left style="thin"/>
      <right style="thin"/>
      <top style="thin"/>
      <bottom style="thin"/>
    </border>
    <border>
      <left style="double"/>
      <right style="thin"/>
      <top style="thin"/>
      <bottom style="double"/>
    </border>
    <border>
      <left style="thin"/>
      <right style="thin"/>
      <top style="thin"/>
      <bottom style="double"/>
    </border>
    <border>
      <left style="double"/>
      <right style="thin"/>
      <top style="double"/>
      <bottom style="thin"/>
    </border>
    <border>
      <left style="thin"/>
      <right style="thin"/>
      <top style="thin"/>
      <bottom>
        <color indexed="63"/>
      </bottom>
    </border>
    <border>
      <left style="double"/>
      <right style="thin"/>
      <top style="thin"/>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medium">
        <color indexed="8"/>
      </bottom>
    </border>
    <border>
      <left style="thin">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color indexed="63"/>
      </bottom>
    </border>
    <border>
      <left>
        <color indexed="63"/>
      </left>
      <right style="thick"/>
      <top>
        <color indexed="63"/>
      </top>
      <bottom>
        <color indexed="63"/>
      </bottom>
    </border>
    <border>
      <left style="thick"/>
      <right style="thin"/>
      <top style="thin"/>
      <bottom style="thin"/>
    </border>
    <border>
      <left style="thin"/>
      <right style="thick"/>
      <top style="thin"/>
      <bottom style="thin"/>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ck"/>
      <top>
        <color indexed="63"/>
      </top>
      <bottom style="thin"/>
    </border>
    <border>
      <left style="thin"/>
      <right style="thin"/>
      <top>
        <color indexed="63"/>
      </top>
      <bottom style="thin"/>
    </border>
    <border>
      <left style="double"/>
      <right style="thin"/>
      <top>
        <color indexed="63"/>
      </top>
      <bottom>
        <color indexed="63"/>
      </bottom>
    </border>
    <border>
      <left style="thin"/>
      <right style="double"/>
      <top style="thin"/>
      <bottom style="thin"/>
    </border>
    <border>
      <left>
        <color indexed="63"/>
      </left>
      <right style="double"/>
      <top style="thin"/>
      <bottom style="thin"/>
    </border>
    <border>
      <left style="double"/>
      <right style="thin"/>
      <top style="double"/>
      <bottom>
        <color indexed="63"/>
      </bottom>
    </border>
    <border>
      <left>
        <color indexed="63"/>
      </left>
      <right style="thin"/>
      <top style="thin"/>
      <bottom>
        <color indexed="63"/>
      </bottom>
    </border>
    <border>
      <left style="double"/>
      <right style="thin"/>
      <top style="double"/>
      <bottom style="double"/>
    </border>
    <border>
      <left style="thin"/>
      <right style="thin"/>
      <top style="double"/>
      <bottom style="double"/>
    </border>
    <border>
      <left style="thin"/>
      <right style="thin"/>
      <top>
        <color indexed="63"/>
      </top>
      <bottom style="double"/>
    </border>
    <border>
      <left style="thin"/>
      <right style="thin"/>
      <top>
        <color indexed="63"/>
      </top>
      <bottom>
        <color indexed="63"/>
      </bottom>
    </border>
    <border>
      <left style="double"/>
      <right style="thin"/>
      <top>
        <color indexed="63"/>
      </top>
      <bottom style="thin"/>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thin"/>
    </border>
    <border>
      <left>
        <color indexed="63"/>
      </left>
      <right style="double"/>
      <top style="double"/>
      <bottom style="thin"/>
    </border>
    <border>
      <left>
        <color indexed="63"/>
      </left>
      <right style="hair"/>
      <top style="hair"/>
      <bottom style="hair"/>
    </border>
    <border>
      <left style="thin"/>
      <right style="double"/>
      <top>
        <color indexed="63"/>
      </top>
      <bottom>
        <color indexed="63"/>
      </bottom>
    </border>
    <border>
      <left style="thin"/>
      <right style="double"/>
      <top style="double"/>
      <bottom style="double"/>
    </border>
    <border>
      <left>
        <color indexed="63"/>
      </left>
      <right style="thin"/>
      <top>
        <color indexed="63"/>
      </top>
      <bottom style="thin"/>
    </border>
    <border>
      <left>
        <color indexed="63"/>
      </left>
      <right style="double"/>
      <top style="double"/>
      <bottom style="double"/>
    </border>
    <border>
      <left style="thin"/>
      <right>
        <color indexed="63"/>
      </right>
      <top style="double"/>
      <bottom>
        <color indexed="63"/>
      </bottom>
    </border>
    <border>
      <left style="thin"/>
      <right>
        <color indexed="63"/>
      </right>
      <top>
        <color indexed="63"/>
      </top>
      <bottom style="thin"/>
    </border>
    <border>
      <left style="thin"/>
      <right style="thin"/>
      <top style="double"/>
      <bottom style="thin"/>
    </border>
    <border>
      <left style="thin"/>
      <right style="double"/>
      <top style="double"/>
      <bottom style="thin"/>
    </border>
    <border>
      <left style="thin"/>
      <right style="thin"/>
      <top style="double"/>
      <bottom>
        <color indexed="63"/>
      </bottom>
    </border>
    <border>
      <left style="double"/>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style="double"/>
      <top>
        <color indexed="63"/>
      </top>
      <bottom style="thin"/>
    </border>
    <border>
      <left style="thin"/>
      <right>
        <color indexed="63"/>
      </right>
      <top style="double"/>
      <bottom style="thin"/>
    </border>
    <border>
      <left>
        <color indexed="63"/>
      </left>
      <right>
        <color indexed="63"/>
      </right>
      <top style="double"/>
      <bottom>
        <color indexed="63"/>
      </bottom>
    </border>
    <border>
      <left style="thin"/>
      <right style="thick"/>
      <top style="double"/>
      <bottom style="thin"/>
    </border>
    <border>
      <left style="thin"/>
      <right style="double"/>
      <top style="thin"/>
      <bottom>
        <color indexed="63"/>
      </bottom>
    </border>
    <border>
      <left style="thin"/>
      <right style="double"/>
      <top>
        <color indexed="63"/>
      </top>
      <bottom style="double"/>
    </border>
    <border>
      <left style="thin"/>
      <right style="double"/>
      <top style="thin"/>
      <bottom style="double"/>
    </border>
    <border>
      <left style="thin"/>
      <right style="thick"/>
      <top>
        <color indexed="63"/>
      </top>
      <bottom style="thin"/>
    </border>
    <border>
      <left style="medium">
        <color indexed="8"/>
      </left>
      <right style="thin">
        <color indexed="8"/>
      </right>
      <top>
        <color indexed="63"/>
      </top>
      <bottom style="medium">
        <color indexed="8"/>
      </bottom>
    </border>
    <border>
      <left style="thin">
        <color indexed="8"/>
      </left>
      <right style="medium">
        <color indexed="8"/>
      </right>
      <top style="medium">
        <color indexed="8"/>
      </top>
      <bottom style="medium">
        <color indexed="8"/>
      </bottom>
    </border>
    <border>
      <left style="thin"/>
      <right>
        <color indexed="63"/>
      </right>
      <top style="thin"/>
      <bottom style="double"/>
    </border>
    <border>
      <left style="double"/>
      <right>
        <color indexed="63"/>
      </right>
      <top style="double"/>
      <bottom style="double"/>
    </border>
    <border>
      <left style="double"/>
      <right>
        <color indexed="63"/>
      </right>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style="double"/>
      <bottom>
        <color indexed="63"/>
      </bottom>
    </border>
    <border>
      <left>
        <color indexed="63"/>
      </left>
      <right>
        <color indexed="63"/>
      </right>
      <top style="thin"/>
      <bottom style="double"/>
    </border>
    <border>
      <left style="double"/>
      <right>
        <color indexed="63"/>
      </right>
      <top style="thin"/>
      <bottom style="double"/>
    </border>
    <border>
      <left>
        <color indexed="63"/>
      </left>
      <right style="thin"/>
      <top style="double"/>
      <bottom style="thin"/>
    </border>
    <border>
      <left>
        <color indexed="63"/>
      </left>
      <right style="thin"/>
      <top style="thin"/>
      <bottom style="double"/>
    </border>
    <border>
      <left>
        <color indexed="63"/>
      </left>
      <right style="double"/>
      <top style="thin"/>
      <bottom>
        <color indexed="63"/>
      </bottom>
    </border>
    <border>
      <left style="thin"/>
      <right>
        <color indexed="63"/>
      </right>
      <top style="double"/>
      <bottom style="double"/>
    </border>
    <border>
      <left>
        <color indexed="63"/>
      </left>
      <right style="thin"/>
      <top style="double"/>
      <bottom style="double"/>
    </border>
    <border>
      <left>
        <color indexed="63"/>
      </left>
      <right>
        <color indexed="63"/>
      </right>
      <top style="double"/>
      <bottom style="thin"/>
    </border>
    <border>
      <left>
        <color indexed="63"/>
      </left>
      <right>
        <color indexed="63"/>
      </right>
      <top style="double"/>
      <bottom style="double"/>
    </border>
    <border>
      <left>
        <color indexed="63"/>
      </left>
      <right style="double"/>
      <top style="double"/>
      <bottom>
        <color indexed="63"/>
      </bottom>
    </border>
    <border>
      <left style="double"/>
      <right>
        <color indexed="63"/>
      </right>
      <top style="double"/>
      <bottom style="thin"/>
    </border>
    <border>
      <left>
        <color indexed="63"/>
      </left>
      <right style="thin"/>
      <top>
        <color indexed="63"/>
      </top>
      <bottom style="double"/>
    </border>
    <border>
      <left style="thin">
        <color indexed="8"/>
      </left>
      <right style="medium">
        <color indexed="8"/>
      </right>
      <top style="medium">
        <color indexed="8"/>
      </top>
      <bottom>
        <color indexed="63"/>
      </bottom>
    </border>
    <border>
      <left style="thin">
        <color indexed="8"/>
      </left>
      <right style="medium">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thick">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168" fontId="9" fillId="0" borderId="0">
      <alignment/>
      <protection/>
    </xf>
    <xf numFmtId="9" fontId="0" fillId="0" borderId="0" applyFont="0" applyFill="0" applyBorder="0" applyAlignment="0" applyProtection="0"/>
  </cellStyleXfs>
  <cellXfs count="524">
    <xf numFmtId="0" fontId="0" fillId="0" borderId="0" xfId="0" applyAlignment="1">
      <alignment/>
    </xf>
    <xf numFmtId="0" fontId="0" fillId="0" borderId="0" xfId="0" applyAlignment="1" applyProtection="1">
      <alignment horizontal="centerContinuous"/>
      <protection hidden="1"/>
    </xf>
    <xf numFmtId="0" fontId="0" fillId="0" borderId="0" xfId="0" applyAlignment="1" applyProtection="1">
      <alignment/>
      <protection/>
    </xf>
    <xf numFmtId="0" fontId="1" fillId="0" borderId="0" xfId="0" applyFont="1" applyAlignment="1" applyProtection="1">
      <alignment horizontal="centerContinuous"/>
      <protection hidden="1"/>
    </xf>
    <xf numFmtId="0" fontId="3" fillId="0" borderId="0" xfId="0" applyFont="1" applyAlignment="1" applyProtection="1">
      <alignment/>
      <protection/>
    </xf>
    <xf numFmtId="0" fontId="0" fillId="0" borderId="0" xfId="0" applyAlignment="1" applyProtection="1">
      <alignment/>
      <protection hidden="1"/>
    </xf>
    <xf numFmtId="0" fontId="4" fillId="0" borderId="0" xfId="0" applyFont="1" applyAlignment="1" applyProtection="1">
      <alignment horizontal="centerContinuous"/>
      <protection hidden="1"/>
    </xf>
    <xf numFmtId="0" fontId="0" fillId="0" borderId="0" xfId="0" applyAlignment="1" applyProtection="1">
      <alignment horizontal="centerContinuous" wrapText="1"/>
      <protection/>
    </xf>
    <xf numFmtId="0" fontId="3" fillId="0" borderId="0" xfId="0" applyFont="1" applyAlignment="1" applyProtection="1">
      <alignment horizontal="centerContinuous"/>
      <protection hidden="1"/>
    </xf>
    <xf numFmtId="0" fontId="0" fillId="0" borderId="0" xfId="0" applyAlignment="1" applyProtection="1">
      <alignment horizontal="centerContinuous"/>
      <protection/>
    </xf>
    <xf numFmtId="0" fontId="5" fillId="0" borderId="0" xfId="0" applyFont="1" applyBorder="1" applyAlignment="1" applyProtection="1">
      <alignment/>
      <protection hidden="1"/>
    </xf>
    <xf numFmtId="0" fontId="0" fillId="0" borderId="0" xfId="0" applyBorder="1" applyAlignment="1" applyProtection="1">
      <alignment/>
      <protection hidden="1"/>
    </xf>
    <xf numFmtId="0" fontId="2" fillId="0" borderId="0" xfId="0" applyFont="1" applyFill="1" applyBorder="1" applyAlignment="1" applyProtection="1">
      <alignment wrapText="1"/>
      <protection hidden="1"/>
    </xf>
    <xf numFmtId="0" fontId="0" fillId="2" borderId="1" xfId="0" applyFont="1" applyFill="1" applyBorder="1" applyAlignment="1" applyProtection="1">
      <alignment wrapText="1"/>
      <protection hidden="1"/>
    </xf>
    <xf numFmtId="0" fontId="0" fillId="2" borderId="2" xfId="0" applyFont="1" applyFill="1" applyBorder="1" applyAlignment="1" applyProtection="1">
      <alignment vertical="center" wrapText="1"/>
      <protection hidden="1"/>
    </xf>
    <xf numFmtId="0" fontId="0" fillId="2" borderId="3" xfId="0" applyFont="1" applyFill="1" applyBorder="1" applyAlignment="1" applyProtection="1">
      <alignment vertical="top" wrapText="1"/>
      <protection hidden="1"/>
    </xf>
    <xf numFmtId="0" fontId="0" fillId="2" borderId="4" xfId="0" applyFont="1" applyFill="1" applyBorder="1" applyAlignment="1" applyProtection="1">
      <alignment vertical="top" wrapText="1"/>
      <protection hidden="1"/>
    </xf>
    <xf numFmtId="0" fontId="2" fillId="0" borderId="4" xfId="0" applyFont="1" applyFill="1" applyBorder="1" applyAlignment="1" applyProtection="1">
      <alignment horizontal="left" vertical="center" wrapText="1"/>
      <protection hidden="1"/>
    </xf>
    <xf numFmtId="0" fontId="1" fillId="3" borderId="5" xfId="0" applyFont="1" applyFill="1" applyBorder="1" applyAlignment="1" applyProtection="1">
      <alignment horizontal="center" vertical="center"/>
      <protection hidden="1"/>
    </xf>
    <xf numFmtId="0" fontId="0" fillId="2" borderId="1" xfId="0" applyFont="1" applyFill="1" applyBorder="1" applyAlignment="1" applyProtection="1">
      <alignment horizontal="center" vertical="center"/>
      <protection hidden="1"/>
    </xf>
    <xf numFmtId="164" fontId="0" fillId="0" borderId="2" xfId="0" applyNumberFormat="1" applyFill="1" applyBorder="1" applyAlignment="1" applyProtection="1">
      <alignment horizontal="center" vertical="center"/>
      <protection locked="0"/>
    </xf>
    <xf numFmtId="164" fontId="0" fillId="4" borderId="2" xfId="0" applyNumberFormat="1" applyFill="1" applyBorder="1" applyAlignment="1" applyProtection="1">
      <alignment horizontal="center" vertical="center"/>
      <protection hidden="1"/>
    </xf>
    <xf numFmtId="165" fontId="0" fillId="4" borderId="2" xfId="0" applyNumberFormat="1" applyFill="1" applyBorder="1" applyAlignment="1" applyProtection="1">
      <alignment horizontal="center" vertical="center"/>
      <protection hidden="1"/>
    </xf>
    <xf numFmtId="0" fontId="0" fillId="2" borderId="3" xfId="0" applyFont="1" applyFill="1" applyBorder="1" applyAlignment="1" applyProtection="1">
      <alignment horizontal="center" vertical="center"/>
      <protection hidden="1"/>
    </xf>
    <xf numFmtId="164" fontId="0" fillId="4" borderId="4" xfId="0" applyNumberFormat="1" applyFill="1" applyBorder="1" applyAlignment="1" applyProtection="1">
      <alignment horizontal="center" vertical="center"/>
      <protection hidden="1"/>
    </xf>
    <xf numFmtId="164" fontId="0" fillId="4" borderId="6" xfId="0" applyNumberFormat="1" applyFill="1" applyBorder="1" applyAlignment="1" applyProtection="1">
      <alignment horizontal="center" vertical="center"/>
      <protection hidden="1"/>
    </xf>
    <xf numFmtId="0" fontId="0" fillId="2" borderId="7" xfId="0" applyFont="1" applyFill="1" applyBorder="1" applyAlignment="1" applyProtection="1">
      <alignment horizontal="center" vertical="center"/>
      <protection hidden="1"/>
    </xf>
    <xf numFmtId="0" fontId="0" fillId="0" borderId="0" xfId="0" applyAlignment="1" applyProtection="1">
      <alignment vertical="center"/>
      <protection/>
    </xf>
    <xf numFmtId="0" fontId="0" fillId="0" borderId="0" xfId="0" applyAlignment="1">
      <alignment vertical="center"/>
    </xf>
    <xf numFmtId="0" fontId="6" fillId="0" borderId="0" xfId="0" applyFont="1" applyFill="1" applyBorder="1" applyAlignment="1" applyProtection="1">
      <alignment/>
      <protection hidden="1"/>
    </xf>
    <xf numFmtId="0" fontId="0" fillId="0" borderId="0" xfId="0" applyFont="1" applyFill="1" applyBorder="1" applyAlignment="1" applyProtection="1">
      <alignment horizontal="left" vertical="center" indent="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Border="1" applyAlignment="1" applyProtection="1">
      <alignment/>
      <protection hidden="1"/>
    </xf>
    <xf numFmtId="0" fontId="0" fillId="0" borderId="0" xfId="0" applyFont="1" applyFill="1" applyBorder="1" applyAlignment="1" applyProtection="1">
      <alignment horizontal="right"/>
      <protection hidden="1"/>
    </xf>
    <xf numFmtId="0" fontId="0" fillId="0" borderId="0" xfId="0" applyFont="1" applyFill="1" applyBorder="1" applyAlignment="1" applyProtection="1">
      <alignment horizontal="right" vertical="center"/>
      <protection hidden="1"/>
    </xf>
    <xf numFmtId="0" fontId="1" fillId="0" borderId="0" xfId="0" applyFont="1" applyFill="1" applyBorder="1" applyAlignment="1" applyProtection="1">
      <alignment/>
      <protection hidden="1"/>
    </xf>
    <xf numFmtId="0" fontId="1" fillId="0" borderId="0" xfId="0" applyFont="1" applyFill="1" applyBorder="1" applyAlignment="1" applyProtection="1">
      <alignment horizontal="right"/>
      <protection hidden="1"/>
    </xf>
    <xf numFmtId="0" fontId="0" fillId="0" borderId="0" xfId="0" applyFont="1" applyAlignment="1" applyProtection="1">
      <alignment/>
      <protection hidden="1"/>
    </xf>
    <xf numFmtId="0" fontId="0" fillId="0" borderId="0" xfId="0" applyFont="1" applyAlignment="1" applyProtection="1">
      <alignment horizontal="right"/>
      <protection hidden="1"/>
    </xf>
    <xf numFmtId="0" fontId="0" fillId="0" borderId="0" xfId="0" applyFont="1" applyAlignment="1" applyProtection="1">
      <alignment horizontal="left" indent="1"/>
      <protection hidden="1"/>
    </xf>
    <xf numFmtId="0" fontId="0" fillId="0" borderId="0" xfId="0" applyFont="1" applyAlignment="1" applyProtection="1">
      <alignment horizontal="left"/>
      <protection hidden="1"/>
    </xf>
    <xf numFmtId="3" fontId="0" fillId="0" borderId="2" xfId="0" applyNumberFormat="1" applyFill="1" applyBorder="1" applyAlignment="1" applyProtection="1">
      <alignment horizontal="center" vertical="center"/>
      <protection locked="0"/>
    </xf>
    <xf numFmtId="172" fontId="10" fillId="5" borderId="8" xfId="21" applyNumberFormat="1" applyFont="1" applyFill="1" applyBorder="1" applyAlignment="1" applyProtection="1">
      <alignment horizontal="left"/>
      <protection/>
    </xf>
    <xf numFmtId="168" fontId="11" fillId="5" borderId="9" xfId="21" applyFont="1" applyFill="1" applyBorder="1">
      <alignment/>
      <protection/>
    </xf>
    <xf numFmtId="168" fontId="12" fillId="5" borderId="9" xfId="21" applyFont="1" applyFill="1" applyBorder="1">
      <alignment/>
      <protection/>
    </xf>
    <xf numFmtId="168" fontId="12" fillId="5" borderId="9" xfId="21" applyFont="1" applyFill="1" applyBorder="1" applyAlignment="1" applyProtection="1">
      <alignment horizontal="center"/>
      <protection/>
    </xf>
    <xf numFmtId="168" fontId="10" fillId="5" borderId="10" xfId="21" applyFont="1" applyFill="1" applyBorder="1" applyAlignment="1">
      <alignment horizontal="right"/>
      <protection/>
    </xf>
    <xf numFmtId="168" fontId="9" fillId="0" borderId="0" xfId="21">
      <alignment/>
      <protection/>
    </xf>
    <xf numFmtId="168" fontId="9" fillId="0" borderId="0" xfId="21" applyAlignment="1" applyProtection="1">
      <alignment horizontal="center"/>
      <protection/>
    </xf>
    <xf numFmtId="168" fontId="13" fillId="5" borderId="11" xfId="21" applyFont="1" applyFill="1" applyBorder="1">
      <alignment/>
      <protection/>
    </xf>
    <xf numFmtId="168" fontId="13" fillId="5" borderId="0" xfId="21" applyFont="1" applyFill="1">
      <alignment/>
      <protection/>
    </xf>
    <xf numFmtId="168" fontId="12" fillId="5" borderId="0" xfId="21" applyFont="1" applyFill="1" applyBorder="1" applyAlignment="1" applyProtection="1">
      <alignment horizontal="center"/>
      <protection/>
    </xf>
    <xf numFmtId="168" fontId="13" fillId="5" borderId="12" xfId="21" applyFont="1" applyFill="1" applyBorder="1">
      <alignment/>
      <protection/>
    </xf>
    <xf numFmtId="168" fontId="14" fillId="0" borderId="0" xfId="21" applyFont="1">
      <alignment/>
      <protection/>
    </xf>
    <xf numFmtId="168" fontId="11" fillId="5" borderId="11" xfId="21" applyFont="1" applyFill="1" applyBorder="1">
      <alignment/>
      <protection/>
    </xf>
    <xf numFmtId="168" fontId="11" fillId="5" borderId="0" xfId="21" applyFont="1" applyFill="1">
      <alignment/>
      <protection/>
    </xf>
    <xf numFmtId="168" fontId="12" fillId="5" borderId="0" xfId="21" applyFont="1" applyFill="1">
      <alignment/>
      <protection/>
    </xf>
    <xf numFmtId="168" fontId="11" fillId="5" borderId="12" xfId="21" applyFont="1" applyFill="1" applyBorder="1">
      <alignment/>
      <protection/>
    </xf>
    <xf numFmtId="168" fontId="15" fillId="5" borderId="11" xfId="21" applyFont="1" applyFill="1" applyBorder="1" applyAlignment="1" applyProtection="1">
      <alignment horizontal="center"/>
      <protection/>
    </xf>
    <xf numFmtId="168" fontId="15" fillId="5" borderId="0" xfId="21" applyFont="1" applyFill="1">
      <alignment/>
      <protection/>
    </xf>
    <xf numFmtId="168" fontId="13" fillId="5" borderId="0" xfId="21" applyFont="1" applyFill="1" applyAlignment="1" applyProtection="1">
      <alignment horizontal="center"/>
      <protection/>
    </xf>
    <xf numFmtId="168" fontId="15" fillId="5" borderId="12" xfId="21" applyFont="1" applyFill="1" applyBorder="1">
      <alignment/>
      <protection/>
    </xf>
    <xf numFmtId="169" fontId="9" fillId="0" borderId="0" xfId="21" applyNumberFormat="1" applyProtection="1">
      <alignment/>
      <protection/>
    </xf>
    <xf numFmtId="168" fontId="16" fillId="5" borderId="0" xfId="21" applyFont="1" applyFill="1">
      <alignment/>
      <protection/>
    </xf>
    <xf numFmtId="168" fontId="17" fillId="5" borderId="0" xfId="21" applyFont="1" applyFill="1" applyAlignment="1" applyProtection="1">
      <alignment horizontal="center"/>
      <protection/>
    </xf>
    <xf numFmtId="168" fontId="15" fillId="5" borderId="0" xfId="21" applyFont="1" applyFill="1" applyAlignment="1" applyProtection="1">
      <alignment horizontal="center"/>
      <protection/>
    </xf>
    <xf numFmtId="168" fontId="15" fillId="5" borderId="12" xfId="21" applyFont="1" applyFill="1" applyBorder="1" applyAlignment="1" applyProtection="1">
      <alignment horizontal="center"/>
      <protection/>
    </xf>
    <xf numFmtId="168" fontId="15" fillId="5" borderId="13" xfId="21" applyFont="1" applyFill="1" applyBorder="1" applyAlignment="1" applyProtection="1">
      <alignment horizontal="center"/>
      <protection/>
    </xf>
    <xf numFmtId="168" fontId="15" fillId="5" borderId="14" xfId="21" applyFont="1" applyFill="1" applyBorder="1" applyAlignment="1" applyProtection="1">
      <alignment horizontal="center"/>
      <protection/>
    </xf>
    <xf numFmtId="168" fontId="15" fillId="5" borderId="15" xfId="21" applyFont="1" applyFill="1" applyBorder="1" applyAlignment="1" applyProtection="1">
      <alignment horizontal="center"/>
      <protection/>
    </xf>
    <xf numFmtId="3" fontId="18" fillId="5" borderId="16" xfId="21" applyNumberFormat="1" applyFont="1" applyFill="1" applyBorder="1" applyAlignment="1" applyProtection="1">
      <alignment horizontal="center"/>
      <protection/>
    </xf>
    <xf numFmtId="168" fontId="15" fillId="6" borderId="0" xfId="21" applyFont="1" applyFill="1">
      <alignment/>
      <protection/>
    </xf>
    <xf numFmtId="169" fontId="19" fillId="7" borderId="17" xfId="21" applyNumberFormat="1" applyFont="1" applyFill="1" applyBorder="1" applyProtection="1">
      <alignment/>
      <protection/>
    </xf>
    <xf numFmtId="169" fontId="20" fillId="0" borderId="17" xfId="21" applyNumberFormat="1" applyFont="1" applyBorder="1" applyAlignment="1" applyProtection="1">
      <alignment horizontal="right"/>
      <protection/>
    </xf>
    <xf numFmtId="169" fontId="20" fillId="6" borderId="18" xfId="21" applyNumberFormat="1" applyFont="1" applyFill="1" applyBorder="1" applyProtection="1">
      <alignment/>
      <protection/>
    </xf>
    <xf numFmtId="10" fontId="9" fillId="0" borderId="0" xfId="21" applyNumberFormat="1" applyProtection="1">
      <alignment/>
      <protection/>
    </xf>
    <xf numFmtId="169" fontId="20" fillId="0" borderId="17" xfId="21" applyNumberFormat="1" applyFont="1" applyBorder="1" applyProtection="1">
      <alignment/>
      <protection/>
    </xf>
    <xf numFmtId="169" fontId="19" fillId="7" borderId="19" xfId="21" applyNumberFormat="1" applyFont="1" applyFill="1" applyBorder="1" applyProtection="1">
      <alignment/>
      <protection/>
    </xf>
    <xf numFmtId="169" fontId="20" fillId="0" borderId="20" xfId="21" applyNumberFormat="1" applyFont="1" applyBorder="1" applyProtection="1">
      <alignment/>
      <protection/>
    </xf>
    <xf numFmtId="169" fontId="19" fillId="8" borderId="21" xfId="21" applyNumberFormat="1" applyFont="1" applyFill="1" applyBorder="1" applyProtection="1">
      <alignment/>
      <protection/>
    </xf>
    <xf numFmtId="169" fontId="19" fillId="8" borderId="17" xfId="21" applyNumberFormat="1" applyFont="1" applyFill="1" applyBorder="1" applyProtection="1">
      <alignment/>
      <protection/>
    </xf>
    <xf numFmtId="169" fontId="20" fillId="0" borderId="22" xfId="21" applyNumberFormat="1" applyFont="1" applyBorder="1" applyProtection="1">
      <alignment/>
      <protection/>
    </xf>
    <xf numFmtId="169" fontId="19" fillId="8" borderId="23" xfId="21" applyNumberFormat="1" applyFont="1" applyFill="1" applyBorder="1" applyProtection="1">
      <alignment/>
      <protection/>
    </xf>
    <xf numFmtId="169" fontId="19" fillId="8" borderId="19" xfId="21" applyNumberFormat="1" applyFont="1" applyFill="1" applyBorder="1" applyProtection="1">
      <alignment/>
      <protection/>
    </xf>
    <xf numFmtId="169" fontId="20" fillId="0" borderId="24" xfId="21" applyNumberFormat="1" applyFont="1" applyBorder="1" applyProtection="1">
      <alignment/>
      <protection/>
    </xf>
    <xf numFmtId="169" fontId="9" fillId="0" borderId="0" xfId="21" applyNumberFormat="1" applyAlignment="1" applyProtection="1">
      <alignment horizontal="left"/>
      <protection/>
    </xf>
    <xf numFmtId="168" fontId="9" fillId="0" borderId="0" xfId="21" applyNumberFormat="1" applyAlignment="1" applyProtection="1">
      <alignment horizontal="left"/>
      <protection/>
    </xf>
    <xf numFmtId="9" fontId="9" fillId="0" borderId="0" xfId="21" applyNumberFormat="1" applyProtection="1">
      <alignment/>
      <protection/>
    </xf>
    <xf numFmtId="169" fontId="9" fillId="0" borderId="0" xfId="21" applyNumberFormat="1" applyAlignment="1" applyProtection="1">
      <alignment horizontal="right"/>
      <protection/>
    </xf>
    <xf numFmtId="169" fontId="20" fillId="6" borderId="24" xfId="21" applyNumberFormat="1" applyFont="1" applyFill="1" applyBorder="1" applyProtection="1">
      <alignment/>
      <protection/>
    </xf>
    <xf numFmtId="168" fontId="9" fillId="0" borderId="0" xfId="21" applyNumberFormat="1" applyProtection="1">
      <alignment/>
      <protection/>
    </xf>
    <xf numFmtId="0" fontId="0" fillId="0" borderId="0" xfId="0" applyAlignment="1">
      <alignment horizontal="right"/>
    </xf>
    <xf numFmtId="0" fontId="0" fillId="0" borderId="0" xfId="0" applyAlignment="1">
      <alignment horizontal="center"/>
    </xf>
    <xf numFmtId="167" fontId="0" fillId="0" borderId="0" xfId="0" applyNumberFormat="1" applyAlignment="1">
      <alignment horizontal="right"/>
    </xf>
    <xf numFmtId="14" fontId="0" fillId="0" borderId="0" xfId="0" applyNumberFormat="1" applyAlignment="1">
      <alignment/>
    </xf>
    <xf numFmtId="14" fontId="0" fillId="0" borderId="0" xfId="0" applyNumberFormat="1" applyAlignment="1">
      <alignment horizontal="right"/>
    </xf>
    <xf numFmtId="14" fontId="0" fillId="0" borderId="0" xfId="0" applyNumberFormat="1" applyAlignment="1">
      <alignment horizontal="center"/>
    </xf>
    <xf numFmtId="0" fontId="1" fillId="0" borderId="25" xfId="0" applyFont="1" applyBorder="1" applyAlignment="1">
      <alignment/>
    </xf>
    <xf numFmtId="0" fontId="0" fillId="0" borderId="26" xfId="0" applyBorder="1" applyAlignment="1">
      <alignment horizontal="right"/>
    </xf>
    <xf numFmtId="0" fontId="0" fillId="0" borderId="26" xfId="0" applyBorder="1" applyAlignment="1">
      <alignment horizontal="center"/>
    </xf>
    <xf numFmtId="167" fontId="0" fillId="0" borderId="26" xfId="0" applyNumberFormat="1" applyBorder="1" applyAlignment="1">
      <alignment horizontal="right"/>
    </xf>
    <xf numFmtId="0" fontId="0" fillId="0" borderId="27" xfId="0" applyBorder="1" applyAlignment="1">
      <alignment/>
    </xf>
    <xf numFmtId="0" fontId="1" fillId="0" borderId="26" xfId="0" applyFont="1" applyBorder="1" applyAlignment="1">
      <alignment/>
    </xf>
    <xf numFmtId="0" fontId="0" fillId="0" borderId="26" xfId="0" applyBorder="1" applyAlignment="1">
      <alignment/>
    </xf>
    <xf numFmtId="0" fontId="0" fillId="0" borderId="28" xfId="0" applyBorder="1" applyAlignment="1">
      <alignment/>
    </xf>
    <xf numFmtId="0" fontId="0" fillId="0" borderId="0" xfId="0" applyBorder="1" applyAlignment="1">
      <alignment horizontal="right"/>
    </xf>
    <xf numFmtId="0" fontId="0" fillId="0" borderId="0" xfId="0" applyBorder="1" applyAlignment="1">
      <alignment horizontal="center"/>
    </xf>
    <xf numFmtId="167" fontId="0" fillId="0" borderId="0" xfId="0" applyNumberFormat="1" applyBorder="1" applyAlignment="1">
      <alignment horizontal="right"/>
    </xf>
    <xf numFmtId="0" fontId="0" fillId="0" borderId="29" xfId="0" applyBorder="1" applyAlignment="1">
      <alignment/>
    </xf>
    <xf numFmtId="0" fontId="1" fillId="0" borderId="0" xfId="0" applyFont="1" applyBorder="1" applyAlignment="1">
      <alignment/>
    </xf>
    <xf numFmtId="0" fontId="0" fillId="0" borderId="0" xfId="0" applyBorder="1" applyAlignment="1">
      <alignment/>
    </xf>
    <xf numFmtId="0" fontId="0" fillId="0" borderId="28" xfId="0" applyFont="1" applyBorder="1" applyAlignment="1">
      <alignment/>
    </xf>
    <xf numFmtId="0" fontId="0" fillId="0" borderId="30" xfId="0" applyBorder="1" applyAlignment="1">
      <alignment horizontal="center"/>
    </xf>
    <xf numFmtId="0" fontId="0" fillId="0" borderId="2" xfId="0" applyBorder="1" applyAlignment="1">
      <alignment horizontal="center"/>
    </xf>
    <xf numFmtId="0" fontId="0" fillId="0" borderId="31" xfId="0" applyBorder="1" applyAlignment="1">
      <alignment horizontal="center"/>
    </xf>
    <xf numFmtId="0" fontId="1" fillId="0" borderId="0" xfId="0" applyFont="1" applyBorder="1" applyAlignment="1">
      <alignment horizontal="left"/>
    </xf>
    <xf numFmtId="0" fontId="0" fillId="0" borderId="29" xfId="0" applyBorder="1" applyAlignment="1">
      <alignment horizontal="center"/>
    </xf>
    <xf numFmtId="0" fontId="0" fillId="0" borderId="32" xfId="0" applyBorder="1" applyAlignment="1">
      <alignment/>
    </xf>
    <xf numFmtId="167" fontId="0" fillId="0" borderId="33" xfId="0" applyNumberFormat="1" applyBorder="1" applyAlignment="1">
      <alignment horizontal="right"/>
    </xf>
    <xf numFmtId="0" fontId="0" fillId="0" borderId="33" xfId="0" applyBorder="1" applyAlignment="1" quotePrefix="1">
      <alignment horizontal="center"/>
    </xf>
    <xf numFmtId="0" fontId="0" fillId="0" borderId="34" xfId="0" applyBorder="1" applyAlignment="1">
      <alignment/>
    </xf>
    <xf numFmtId="167" fontId="0" fillId="0" borderId="30" xfId="0" applyNumberFormat="1" applyBorder="1" applyAlignment="1">
      <alignment horizontal="center"/>
    </xf>
    <xf numFmtId="167" fontId="0" fillId="0" borderId="2" xfId="0" applyNumberFormat="1" applyBorder="1" applyAlignment="1">
      <alignment horizontal="center"/>
    </xf>
    <xf numFmtId="167" fontId="0" fillId="0" borderId="31" xfId="0" applyNumberFormat="1" applyBorder="1" applyAlignment="1">
      <alignment horizontal="center"/>
    </xf>
    <xf numFmtId="167" fontId="0" fillId="9" borderId="30" xfId="0" applyNumberFormat="1" applyFill="1" applyBorder="1" applyAlignment="1">
      <alignment horizontal="center"/>
    </xf>
    <xf numFmtId="167" fontId="0" fillId="9" borderId="2" xfId="0" applyNumberFormat="1" applyFill="1" applyBorder="1" applyAlignment="1">
      <alignment horizontal="center"/>
    </xf>
    <xf numFmtId="167" fontId="0" fillId="9" borderId="35" xfId="0" applyNumberFormat="1" applyFill="1" applyBorder="1" applyAlignment="1">
      <alignment horizontal="center"/>
    </xf>
    <xf numFmtId="167" fontId="0" fillId="9" borderId="31" xfId="0" applyNumberFormat="1" applyFill="1" applyBorder="1" applyAlignment="1">
      <alignment horizontal="center"/>
    </xf>
    <xf numFmtId="0" fontId="0" fillId="0" borderId="33" xfId="0" applyBorder="1" applyAlignment="1">
      <alignment horizontal="left"/>
    </xf>
    <xf numFmtId="167" fontId="0" fillId="0" borderId="36" xfId="0" applyNumberFormat="1" applyBorder="1" applyAlignment="1">
      <alignment horizontal="center"/>
    </xf>
    <xf numFmtId="167" fontId="0" fillId="0" borderId="37" xfId="0" applyNumberFormat="1" applyBorder="1" applyAlignment="1">
      <alignment horizontal="center"/>
    </xf>
    <xf numFmtId="0" fontId="0" fillId="0" borderId="36" xfId="0" applyBorder="1" applyAlignment="1">
      <alignment horizontal="left"/>
    </xf>
    <xf numFmtId="0" fontId="0" fillId="0" borderId="36" xfId="0" applyBorder="1" applyAlignment="1">
      <alignment horizontal="center"/>
    </xf>
    <xf numFmtId="0" fontId="0" fillId="0" borderId="37" xfId="0" applyBorder="1" applyAlignment="1">
      <alignment horizontal="center"/>
    </xf>
    <xf numFmtId="0" fontId="0" fillId="0" borderId="0" xfId="0" applyAlignment="1" applyProtection="1">
      <alignment wrapText="1"/>
      <protection/>
    </xf>
    <xf numFmtId="0" fontId="0" fillId="0" borderId="0" xfId="0" applyFill="1" applyBorder="1" applyAlignment="1" applyProtection="1">
      <alignment/>
      <protection/>
    </xf>
    <xf numFmtId="164" fontId="0" fillId="0" borderId="0" xfId="0" applyNumberFormat="1" applyFont="1" applyFill="1" applyBorder="1" applyAlignment="1" applyProtection="1">
      <alignment horizontal="center" vertical="center"/>
      <protection hidden="1"/>
    </xf>
    <xf numFmtId="0" fontId="0" fillId="2" borderId="32" xfId="0" applyNumberFormat="1" applyFont="1" applyFill="1" applyBorder="1" applyAlignment="1" applyProtection="1">
      <alignment horizontal="left" vertical="center" wrapText="1"/>
      <protection hidden="1"/>
    </xf>
    <xf numFmtId="0" fontId="1" fillId="0" borderId="0" xfId="0" applyFont="1" applyFill="1" applyBorder="1" applyAlignment="1" applyProtection="1">
      <alignment horizontal="center" vertical="center"/>
      <protection hidden="1"/>
    </xf>
    <xf numFmtId="164" fontId="0" fillId="0" borderId="38" xfId="0" applyNumberFormat="1" applyFill="1" applyBorder="1" applyAlignment="1" applyProtection="1">
      <alignment horizontal="center" vertical="center"/>
      <protection locked="0"/>
    </xf>
    <xf numFmtId="0" fontId="0" fillId="2" borderId="39" xfId="0" applyFill="1" applyBorder="1" applyAlignment="1">
      <alignment horizontal="center" vertical="center"/>
    </xf>
    <xf numFmtId="0" fontId="21" fillId="0" borderId="0" xfId="0" applyFont="1" applyAlignment="1" applyProtection="1">
      <alignment/>
      <protection hidden="1"/>
    </xf>
    <xf numFmtId="164" fontId="0" fillId="4" borderId="2" xfId="0" applyNumberFormat="1" applyFont="1" applyFill="1" applyBorder="1" applyAlignment="1" applyProtection="1">
      <alignment horizontal="center" vertical="center"/>
      <protection hidden="1"/>
    </xf>
    <xf numFmtId="164" fontId="0" fillId="4" borderId="6" xfId="0" applyNumberFormat="1" applyFont="1" applyFill="1" applyBorder="1" applyAlignment="1" applyProtection="1">
      <alignment horizontal="center" vertical="center"/>
      <protection hidden="1"/>
    </xf>
    <xf numFmtId="0" fontId="0" fillId="0" borderId="32" xfId="0" applyFont="1" applyFill="1" applyBorder="1" applyAlignment="1" applyProtection="1">
      <alignment horizontal="center" vertical="center" wrapText="1"/>
      <protection locked="0"/>
    </xf>
    <xf numFmtId="0" fontId="0" fillId="0" borderId="0" xfId="0" applyAlignment="1" applyProtection="1">
      <alignment vertical="center" wrapText="1"/>
      <protection/>
    </xf>
    <xf numFmtId="0" fontId="0" fillId="0" borderId="0" xfId="0" applyBorder="1" applyAlignment="1" applyProtection="1">
      <alignment/>
      <protection/>
    </xf>
    <xf numFmtId="0" fontId="0" fillId="0" borderId="0" xfId="0" applyBorder="1" applyAlignment="1" applyProtection="1">
      <alignment wrapText="1"/>
      <protection/>
    </xf>
    <xf numFmtId="164" fontId="0" fillId="0" borderId="0" xfId="0" applyNumberFormat="1" applyFill="1" applyBorder="1" applyAlignment="1" applyProtection="1">
      <alignment horizontal="center" vertical="center" wrapText="1"/>
      <protection hidden="1"/>
    </xf>
    <xf numFmtId="164" fontId="0" fillId="0" borderId="0" xfId="0" applyNumberFormat="1" applyAlignment="1" applyProtection="1">
      <alignment/>
      <protection hidden="1"/>
    </xf>
    <xf numFmtId="0" fontId="0" fillId="2" borderId="1" xfId="0" applyFill="1" applyBorder="1" applyAlignment="1">
      <alignment horizontal="center" vertical="center"/>
    </xf>
    <xf numFmtId="164" fontId="0" fillId="0" borderId="40" xfId="0" applyNumberFormat="1" applyFill="1" applyBorder="1" applyAlignment="1" applyProtection="1">
      <alignment horizontal="center" vertical="center"/>
      <protection locked="0"/>
    </xf>
    <xf numFmtId="3" fontId="0" fillId="0" borderId="0" xfId="0" applyNumberFormat="1" applyAlignment="1">
      <alignment/>
    </xf>
    <xf numFmtId="3" fontId="0" fillId="0" borderId="40" xfId="0" applyNumberFormat="1" applyFill="1" applyBorder="1" applyAlignment="1" applyProtection="1">
      <alignment horizontal="center" vertical="center"/>
      <protection locked="0"/>
    </xf>
    <xf numFmtId="164" fontId="0" fillId="4" borderId="41" xfId="0" applyNumberFormat="1" applyFill="1" applyBorder="1" applyAlignment="1" applyProtection="1">
      <alignment horizontal="center" vertical="center"/>
      <protection hidden="1"/>
    </xf>
    <xf numFmtId="164" fontId="0" fillId="4" borderId="35" xfId="0" applyNumberFormat="1" applyFill="1" applyBorder="1" applyAlignment="1" applyProtection="1">
      <alignment horizontal="center" vertical="center"/>
      <protection hidden="1"/>
    </xf>
    <xf numFmtId="164" fontId="0" fillId="4" borderId="4" xfId="0" applyNumberFormat="1" applyFont="1" applyFill="1" applyBorder="1" applyAlignment="1" applyProtection="1">
      <alignment horizontal="center" vertical="center"/>
      <protection hidden="1"/>
    </xf>
    <xf numFmtId="0" fontId="0" fillId="4" borderId="32" xfId="0" applyNumberFormat="1" applyFill="1" applyBorder="1" applyAlignment="1" applyProtection="1">
      <alignment horizontal="center" vertical="center"/>
      <protection hidden="1"/>
    </xf>
    <xf numFmtId="0" fontId="1" fillId="0" borderId="0" xfId="0" applyFont="1" applyFill="1" applyBorder="1" applyAlignment="1" applyProtection="1">
      <alignment horizontal="left" vertical="center"/>
      <protection hidden="1"/>
    </xf>
    <xf numFmtId="0" fontId="0" fillId="2" borderId="42" xfId="0" applyFont="1" applyFill="1" applyBorder="1" applyAlignment="1" applyProtection="1">
      <alignment horizontal="center" vertical="center"/>
      <protection hidden="1"/>
    </xf>
    <xf numFmtId="0" fontId="0" fillId="10" borderId="7" xfId="0" applyFont="1" applyFill="1" applyBorder="1" applyAlignment="1" applyProtection="1">
      <alignment horizontal="center" vertical="center"/>
      <protection hidden="1"/>
    </xf>
    <xf numFmtId="0" fontId="1" fillId="10" borderId="25" xfId="0" applyFont="1" applyFill="1" applyBorder="1" applyAlignment="1" applyProtection="1">
      <alignment horizontal="left" vertical="center" wrapText="1"/>
      <protection hidden="1"/>
    </xf>
    <xf numFmtId="0" fontId="1" fillId="10" borderId="43" xfId="0" applyFont="1" applyFill="1" applyBorder="1" applyAlignment="1" applyProtection="1">
      <alignment horizontal="left" vertical="center" wrapText="1"/>
      <protection hidden="1"/>
    </xf>
    <xf numFmtId="0" fontId="1" fillId="3" borderId="44" xfId="0" applyFont="1" applyFill="1" applyBorder="1" applyAlignment="1" applyProtection="1">
      <alignment horizontal="center" vertical="center"/>
      <protection hidden="1"/>
    </xf>
    <xf numFmtId="164" fontId="0" fillId="4" borderId="45" xfId="0" applyNumberFormat="1" applyFill="1" applyBorder="1" applyAlignment="1" applyProtection="1">
      <alignment horizontal="center" vertical="center"/>
      <protection hidden="1"/>
    </xf>
    <xf numFmtId="0" fontId="0" fillId="10" borderId="44" xfId="0" applyFont="1" applyFill="1" applyBorder="1" applyAlignment="1" applyProtection="1">
      <alignment horizontal="center" vertical="center"/>
      <protection hidden="1"/>
    </xf>
    <xf numFmtId="0" fontId="0" fillId="0" borderId="0" xfId="0" applyAlignment="1">
      <alignment/>
    </xf>
    <xf numFmtId="164" fontId="0" fillId="0" borderId="0" xfId="0" applyNumberFormat="1" applyFill="1" applyBorder="1" applyAlignment="1" applyProtection="1">
      <alignment/>
      <protection hidden="1"/>
    </xf>
    <xf numFmtId="49" fontId="0" fillId="0" borderId="2" xfId="0" applyNumberFormat="1" applyFont="1" applyFill="1" applyBorder="1" applyAlignment="1" applyProtection="1">
      <alignment horizontal="center" vertical="center" wrapText="1"/>
      <protection locked="0"/>
    </xf>
    <xf numFmtId="0" fontId="0" fillId="0" borderId="0" xfId="0" applyAlignment="1">
      <alignment wrapText="1"/>
    </xf>
    <xf numFmtId="0" fontId="0" fillId="4" borderId="0" xfId="0" applyFont="1" applyFill="1" applyAlignment="1" applyProtection="1">
      <alignment vertical="center"/>
      <protection hidden="1"/>
    </xf>
    <xf numFmtId="0" fontId="0" fillId="0" borderId="33" xfId="0" applyNumberFormat="1" applyFill="1" applyBorder="1" applyAlignment="1" applyProtection="1">
      <alignment horizontal="center" vertical="center"/>
      <protection hidden="1"/>
    </xf>
    <xf numFmtId="0" fontId="0" fillId="2" borderId="38" xfId="0" applyNumberFormat="1" applyFont="1" applyFill="1" applyBorder="1" applyAlignment="1" applyProtection="1">
      <alignment vertical="center" wrapText="1"/>
      <protection hidden="1"/>
    </xf>
    <xf numFmtId="0" fontId="0" fillId="0" borderId="0" xfId="0" applyAlignment="1" applyProtection="1">
      <alignment/>
      <protection/>
    </xf>
    <xf numFmtId="0" fontId="0" fillId="2" borderId="39" xfId="0" applyFont="1" applyFill="1" applyBorder="1" applyAlignment="1" applyProtection="1">
      <alignment horizontal="center" vertical="center"/>
      <protection hidden="1"/>
    </xf>
    <xf numFmtId="1" fontId="0" fillId="0" borderId="38" xfId="0" applyNumberFormat="1" applyFont="1" applyFill="1" applyBorder="1" applyAlignment="1" applyProtection="1">
      <alignment horizontal="center" vertical="center" wrapText="1"/>
      <protection locked="0"/>
    </xf>
    <xf numFmtId="164" fontId="0" fillId="4" borderId="46" xfId="0" applyNumberFormat="1" applyFill="1" applyBorder="1" applyAlignment="1" applyProtection="1">
      <alignment horizontal="center" vertical="center"/>
      <protection hidden="1"/>
    </xf>
    <xf numFmtId="0" fontId="0" fillId="10" borderId="39" xfId="0" applyFont="1" applyFill="1" applyBorder="1" applyAlignment="1" applyProtection="1">
      <alignment horizontal="center" vertical="center"/>
      <protection hidden="1"/>
    </xf>
    <xf numFmtId="164" fontId="0" fillId="4" borderId="47" xfId="0" applyNumberFormat="1" applyFill="1" applyBorder="1" applyAlignment="1" applyProtection="1">
      <alignment horizontal="center" vertical="center"/>
      <protection hidden="1"/>
    </xf>
    <xf numFmtId="0" fontId="0" fillId="2" borderId="28" xfId="0" applyFont="1" applyFill="1" applyBorder="1" applyAlignment="1" applyProtection="1">
      <alignment vertical="center" wrapText="1"/>
      <protection hidden="1"/>
    </xf>
    <xf numFmtId="0" fontId="0" fillId="2" borderId="48" xfId="0" applyFont="1" applyFill="1" applyBorder="1" applyAlignment="1" applyProtection="1">
      <alignment horizontal="center" vertical="center"/>
      <protection hidden="1"/>
    </xf>
    <xf numFmtId="0" fontId="1" fillId="3" borderId="45" xfId="0" applyFont="1" applyFill="1" applyBorder="1" applyAlignment="1" applyProtection="1">
      <alignment horizontal="center" vertical="center"/>
      <protection/>
    </xf>
    <xf numFmtId="164" fontId="0" fillId="0" borderId="47" xfId="0" applyNumberFormat="1" applyFill="1" applyBorder="1" applyAlignment="1" applyProtection="1">
      <alignment horizontal="center" vertical="center"/>
      <protection locked="0"/>
    </xf>
    <xf numFmtId="0" fontId="0" fillId="9" borderId="49" xfId="0" applyFill="1" applyBorder="1" applyAlignment="1">
      <alignment vertical="center" wrapText="1"/>
    </xf>
    <xf numFmtId="9" fontId="0" fillId="4" borderId="41" xfId="0" applyNumberFormat="1" applyFill="1" applyBorder="1" applyAlignment="1" applyProtection="1">
      <alignment horizontal="center" vertical="center"/>
      <protection hidden="1"/>
    </xf>
    <xf numFmtId="164" fontId="0" fillId="4" borderId="50" xfId="0" applyNumberFormat="1" applyFont="1" applyFill="1" applyBorder="1" applyAlignment="1" applyProtection="1">
      <alignment horizontal="center" vertical="center"/>
      <protection hidden="1"/>
    </xf>
    <xf numFmtId="0" fontId="0" fillId="9" borderId="50" xfId="0" applyFill="1" applyBorder="1" applyAlignment="1" applyProtection="1">
      <alignment horizontal="center" vertical="center"/>
      <protection hidden="1"/>
    </xf>
    <xf numFmtId="164" fontId="0" fillId="0" borderId="51" xfId="0" applyNumberFormat="1" applyFill="1" applyBorder="1" applyAlignment="1" applyProtection="1">
      <alignment horizontal="center" vertical="center"/>
      <protection locked="0"/>
    </xf>
    <xf numFmtId="0" fontId="1" fillId="9" borderId="49" xfId="0" applyFont="1" applyFill="1" applyBorder="1" applyAlignment="1" applyProtection="1">
      <alignment horizontal="center" vertical="center" wrapText="1"/>
      <protection hidden="1"/>
    </xf>
    <xf numFmtId="0" fontId="0" fillId="9" borderId="49" xfId="0" applyFill="1" applyBorder="1" applyAlignment="1">
      <alignment/>
    </xf>
    <xf numFmtId="0" fontId="1" fillId="3" borderId="52" xfId="0" applyFont="1" applyFill="1" applyBorder="1" applyAlignment="1" applyProtection="1">
      <alignment horizontal="center" vertical="center" wrapText="1"/>
      <protection hidden="1"/>
    </xf>
    <xf numFmtId="164" fontId="0" fillId="0" borderId="41" xfId="0" applyNumberFormat="1" applyFill="1" applyBorder="1" applyAlignment="1" applyProtection="1">
      <alignment horizontal="center" vertical="center"/>
      <protection locked="0"/>
    </xf>
    <xf numFmtId="164" fontId="0" fillId="0" borderId="53" xfId="0" applyNumberFormat="1" applyFill="1" applyBorder="1" applyAlignment="1" applyProtection="1">
      <alignment horizontal="center" vertical="center"/>
      <protection hidden="1"/>
    </xf>
    <xf numFmtId="3" fontId="0" fillId="0" borderId="6" xfId="0" applyNumberFormat="1" applyFill="1" applyBorder="1" applyAlignment="1" applyProtection="1">
      <alignment horizontal="center" vertical="center"/>
      <protection locked="0"/>
    </xf>
    <xf numFmtId="0" fontId="1" fillId="9" borderId="50" xfId="0" applyFont="1" applyFill="1" applyBorder="1" applyAlignment="1" applyProtection="1">
      <alignment vertical="center" wrapText="1"/>
      <protection hidden="1"/>
    </xf>
    <xf numFmtId="0" fontId="1" fillId="9" borderId="54" xfId="0" applyFont="1" applyFill="1" applyBorder="1" applyAlignment="1" applyProtection="1">
      <alignment vertical="center" wrapText="1"/>
      <protection hidden="1"/>
    </xf>
    <xf numFmtId="0" fontId="0" fillId="0" borderId="0" xfId="0" applyFont="1" applyFill="1" applyBorder="1" applyAlignment="1" applyProtection="1">
      <alignment horizontal="center" vertical="center"/>
      <protection hidden="1"/>
    </xf>
    <xf numFmtId="0" fontId="0" fillId="10" borderId="3" xfId="0" applyFont="1" applyFill="1" applyBorder="1" applyAlignment="1" applyProtection="1">
      <alignment horizontal="center" vertical="center"/>
      <protection hidden="1"/>
    </xf>
    <xf numFmtId="0" fontId="0" fillId="9" borderId="54" xfId="0" applyFill="1" applyBorder="1" applyAlignment="1">
      <alignment vertical="center" wrapText="1"/>
    </xf>
    <xf numFmtId="0" fontId="1" fillId="3" borderId="55" xfId="0" applyFont="1" applyFill="1" applyBorder="1" applyAlignment="1" applyProtection="1">
      <alignment horizontal="center" vertical="center" wrapText="1"/>
      <protection hidden="1"/>
    </xf>
    <xf numFmtId="0" fontId="6" fillId="2" borderId="56" xfId="0" applyFont="1" applyFill="1" applyBorder="1" applyAlignment="1" applyProtection="1">
      <alignment wrapText="1"/>
      <protection hidden="1"/>
    </xf>
    <xf numFmtId="1" fontId="0" fillId="4" borderId="38" xfId="0" applyNumberFormat="1" applyFill="1" applyBorder="1" applyAlignment="1" applyProtection="1">
      <alignment horizontal="center" vertical="center"/>
      <protection hidden="1"/>
    </xf>
    <xf numFmtId="1" fontId="0" fillId="4" borderId="51" xfId="0" applyNumberFormat="1" applyFont="1" applyFill="1" applyBorder="1" applyAlignment="1" applyProtection="1">
      <alignment horizontal="center" vertical="center"/>
      <protection hidden="1"/>
    </xf>
    <xf numFmtId="0" fontId="1" fillId="3" borderId="45" xfId="0" applyFont="1" applyFill="1" applyBorder="1" applyAlignment="1" applyProtection="1">
      <alignment horizontal="center" vertical="center"/>
      <protection hidden="1"/>
    </xf>
    <xf numFmtId="0" fontId="1" fillId="3" borderId="57" xfId="0" applyFont="1" applyFill="1" applyBorder="1" applyAlignment="1" applyProtection="1">
      <alignment horizontal="center" vertical="center"/>
      <protection hidden="1"/>
    </xf>
    <xf numFmtId="164" fontId="0" fillId="4" borderId="51" xfId="0" applyNumberFormat="1" applyFill="1" applyBorder="1" applyAlignment="1" applyProtection="1">
      <alignment horizontal="center" vertical="center"/>
      <protection hidden="1"/>
    </xf>
    <xf numFmtId="0" fontId="0" fillId="2" borderId="2" xfId="0" applyFont="1" applyFill="1" applyBorder="1" applyAlignment="1" applyProtection="1">
      <alignment horizontal="left" vertical="top" wrapText="1"/>
      <protection hidden="1"/>
    </xf>
    <xf numFmtId="164" fontId="0" fillId="9" borderId="58" xfId="0" applyNumberFormat="1" applyFill="1" applyBorder="1" applyAlignment="1" applyProtection="1">
      <alignment horizontal="center" vertical="center"/>
      <protection hidden="1"/>
    </xf>
    <xf numFmtId="0" fontId="0" fillId="9" borderId="59" xfId="0" applyFill="1" applyBorder="1" applyAlignment="1" applyProtection="1">
      <alignment horizontal="center" vertical="center"/>
      <protection hidden="1"/>
    </xf>
    <xf numFmtId="0" fontId="1" fillId="9" borderId="49" xfId="0" applyFont="1" applyFill="1" applyBorder="1" applyAlignment="1">
      <alignment wrapText="1"/>
    </xf>
    <xf numFmtId="168" fontId="12" fillId="5" borderId="10" xfId="21" applyFont="1" applyFill="1" applyBorder="1">
      <alignment/>
      <protection/>
    </xf>
    <xf numFmtId="168" fontId="12" fillId="5" borderId="12" xfId="21" applyFont="1" applyFill="1" applyBorder="1">
      <alignment/>
      <protection/>
    </xf>
    <xf numFmtId="0" fontId="0" fillId="0" borderId="0" xfId="0" applyFont="1" applyAlignment="1">
      <alignment/>
    </xf>
    <xf numFmtId="164" fontId="0" fillId="0" borderId="2" xfId="0" applyNumberFormat="1" applyFont="1" applyFill="1" applyBorder="1" applyAlignment="1" applyProtection="1">
      <alignment horizontal="center" vertical="center"/>
      <protection locked="0"/>
    </xf>
    <xf numFmtId="0" fontId="0" fillId="9" borderId="36" xfId="0" applyFill="1" applyBorder="1" applyAlignment="1">
      <alignment horizontal="center" vertical="center"/>
    </xf>
    <xf numFmtId="164" fontId="0" fillId="4" borderId="40" xfId="0" applyNumberFormat="1" applyFont="1" applyFill="1" applyBorder="1" applyAlignment="1" applyProtection="1">
      <alignment horizontal="center" vertical="center"/>
      <protection hidden="1"/>
    </xf>
    <xf numFmtId="0" fontId="1" fillId="3" borderId="5" xfId="0" applyFont="1" applyFill="1" applyBorder="1" applyAlignment="1" applyProtection="1">
      <alignment horizontal="center" vertical="center" wrapText="1"/>
      <protection hidden="1"/>
    </xf>
    <xf numFmtId="0" fontId="1" fillId="3" borderId="60" xfId="0" applyFont="1" applyFill="1" applyBorder="1" applyAlignment="1" applyProtection="1">
      <alignment horizontal="center" vertical="center"/>
      <protection hidden="1"/>
    </xf>
    <xf numFmtId="0" fontId="1" fillId="3" borderId="61" xfId="0" applyFont="1" applyFill="1" applyBorder="1" applyAlignment="1" applyProtection="1">
      <alignment horizontal="center" vertical="center" wrapText="1"/>
      <protection hidden="1"/>
    </xf>
    <xf numFmtId="0" fontId="1" fillId="2" borderId="4" xfId="0" applyFont="1" applyFill="1" applyBorder="1" applyAlignment="1" applyProtection="1">
      <alignment vertical="center" wrapText="1"/>
      <protection hidden="1"/>
    </xf>
    <xf numFmtId="164" fontId="0" fillId="4" borderId="62" xfId="0" applyNumberFormat="1" applyFill="1" applyBorder="1" applyAlignment="1" applyProtection="1">
      <alignment horizontal="center" vertical="center"/>
      <protection hidden="1"/>
    </xf>
    <xf numFmtId="0" fontId="1" fillId="2" borderId="1" xfId="0" applyFont="1" applyFill="1" applyBorder="1" applyAlignment="1" applyProtection="1">
      <alignment horizontal="center" vertical="center"/>
      <protection hidden="1"/>
    </xf>
    <xf numFmtId="0" fontId="1" fillId="2" borderId="63" xfId="0" applyFont="1" applyFill="1" applyBorder="1" applyAlignment="1" applyProtection="1">
      <alignment horizontal="center" vertical="center"/>
      <protection hidden="1"/>
    </xf>
    <xf numFmtId="164" fontId="0" fillId="0" borderId="0" xfId="0" applyNumberFormat="1" applyAlignment="1" applyProtection="1">
      <alignment wrapText="1"/>
      <protection/>
    </xf>
    <xf numFmtId="164" fontId="0" fillId="0" borderId="0" xfId="0" applyNumberFormat="1" applyAlignment="1" applyProtection="1">
      <alignment/>
      <protection/>
    </xf>
    <xf numFmtId="0" fontId="1" fillId="9" borderId="54" xfId="0" applyFont="1" applyFill="1" applyBorder="1" applyAlignment="1">
      <alignment vertical="center" wrapText="1"/>
    </xf>
    <xf numFmtId="0" fontId="0" fillId="9" borderId="49" xfId="0" applyFill="1" applyBorder="1" applyAlignment="1" applyProtection="1">
      <alignment horizontal="center" vertical="center"/>
      <protection hidden="1"/>
    </xf>
    <xf numFmtId="164" fontId="0" fillId="9" borderId="54" xfId="0" applyNumberFormat="1" applyFill="1" applyBorder="1" applyAlignment="1" applyProtection="1">
      <alignment horizontal="center" vertical="center"/>
      <protection hidden="1"/>
    </xf>
    <xf numFmtId="0" fontId="2" fillId="9" borderId="0" xfId="0" applyFont="1" applyFill="1" applyBorder="1" applyAlignment="1" applyProtection="1">
      <alignment horizontal="center" vertical="center" wrapText="1"/>
      <protection hidden="1"/>
    </xf>
    <xf numFmtId="0" fontId="2" fillId="9" borderId="49" xfId="0" applyFont="1" applyFill="1" applyBorder="1" applyAlignment="1" applyProtection="1">
      <alignment horizontal="center" vertical="center" wrapText="1"/>
      <protection hidden="1"/>
    </xf>
    <xf numFmtId="0" fontId="0" fillId="9" borderId="54" xfId="0" applyFill="1" applyBorder="1" applyAlignment="1">
      <alignment/>
    </xf>
    <xf numFmtId="164" fontId="0" fillId="9" borderId="49" xfId="0" applyNumberFormat="1" applyFill="1" applyBorder="1" applyAlignment="1" applyProtection="1">
      <alignment horizontal="center" vertical="center"/>
      <protection hidden="1"/>
    </xf>
    <xf numFmtId="0" fontId="1" fillId="3" borderId="54" xfId="0" applyFont="1" applyFill="1" applyBorder="1" applyAlignment="1" applyProtection="1">
      <alignment horizontal="center" vertical="center"/>
      <protection hidden="1"/>
    </xf>
    <xf numFmtId="1" fontId="0" fillId="9" borderId="54" xfId="0" applyNumberFormat="1" applyFont="1" applyFill="1" applyBorder="1" applyAlignment="1" applyProtection="1">
      <alignment horizontal="center" vertical="center"/>
      <protection hidden="1"/>
    </xf>
    <xf numFmtId="0" fontId="1" fillId="0" borderId="45" xfId="0" applyFont="1" applyFill="1" applyBorder="1" applyAlignment="1" applyProtection="1">
      <alignment horizontal="center" vertical="center" wrapText="1"/>
      <protection hidden="1"/>
    </xf>
    <xf numFmtId="0" fontId="1" fillId="0" borderId="45" xfId="0" applyFont="1" applyFill="1" applyBorder="1" applyAlignment="1" applyProtection="1">
      <alignment horizontal="center" vertical="center"/>
      <protection hidden="1"/>
    </xf>
    <xf numFmtId="0" fontId="1" fillId="0" borderId="55" xfId="0" applyFont="1" applyFill="1" applyBorder="1" applyAlignment="1" applyProtection="1">
      <alignment horizontal="center" vertical="center" wrapText="1"/>
      <protection hidden="1"/>
    </xf>
    <xf numFmtId="0" fontId="0" fillId="9" borderId="47" xfId="0" applyFont="1" applyFill="1" applyBorder="1" applyAlignment="1" applyProtection="1">
      <alignment horizontal="left" wrapText="1"/>
      <protection/>
    </xf>
    <xf numFmtId="0" fontId="0" fillId="9" borderId="47" xfId="0" applyFill="1" applyBorder="1" applyAlignment="1" applyProtection="1">
      <alignment horizontal="centerContinuous" vertical="center"/>
      <protection/>
    </xf>
    <xf numFmtId="0" fontId="0" fillId="9" borderId="47" xfId="0" applyFill="1" applyBorder="1" applyAlignment="1" applyProtection="1">
      <alignment vertical="center"/>
      <protection/>
    </xf>
    <xf numFmtId="0" fontId="0" fillId="9" borderId="47" xfId="0" applyFill="1" applyBorder="1" applyAlignment="1" applyProtection="1">
      <alignment vertical="center" wrapText="1"/>
      <protection/>
    </xf>
    <xf numFmtId="0" fontId="0" fillId="9" borderId="47" xfId="0" applyFont="1" applyFill="1" applyBorder="1" applyAlignment="1" applyProtection="1">
      <alignment horizontal="left" vertical="center" wrapText="1"/>
      <protection hidden="1"/>
    </xf>
    <xf numFmtId="0" fontId="1" fillId="9" borderId="47" xfId="0" applyFont="1" applyFill="1" applyBorder="1" applyAlignment="1" applyProtection="1">
      <alignment horizontal="left" vertical="center" wrapText="1"/>
      <protection hidden="1"/>
    </xf>
    <xf numFmtId="0" fontId="1" fillId="9" borderId="47" xfId="0" applyFont="1" applyFill="1" applyBorder="1" applyAlignment="1" applyProtection="1">
      <alignment horizontal="center" vertical="center" wrapText="1"/>
      <protection hidden="1"/>
    </xf>
    <xf numFmtId="0" fontId="6" fillId="9" borderId="47" xfId="0" applyFont="1" applyFill="1" applyBorder="1" applyAlignment="1" applyProtection="1">
      <alignment wrapText="1"/>
      <protection hidden="1"/>
    </xf>
    <xf numFmtId="9" fontId="0" fillId="9" borderId="54" xfId="0" applyNumberFormat="1" applyFill="1" applyBorder="1" applyAlignment="1" applyProtection="1">
      <alignment horizontal="center" vertical="center"/>
      <protection hidden="1"/>
    </xf>
    <xf numFmtId="164" fontId="0" fillId="9" borderId="54" xfId="0" applyNumberFormat="1" applyFont="1" applyFill="1" applyBorder="1" applyAlignment="1" applyProtection="1">
      <alignment horizontal="center" vertical="center"/>
      <protection hidden="1"/>
    </xf>
    <xf numFmtId="1" fontId="0" fillId="0" borderId="2" xfId="0" applyNumberFormat="1" applyFill="1" applyBorder="1" applyAlignment="1" applyProtection="1">
      <alignment horizontal="center" vertical="center"/>
      <protection locked="0"/>
    </xf>
    <xf numFmtId="9" fontId="0" fillId="9" borderId="49" xfId="0" applyNumberFormat="1" applyFill="1" applyBorder="1" applyAlignment="1" applyProtection="1">
      <alignment horizontal="center" vertical="center"/>
      <protection hidden="1"/>
    </xf>
    <xf numFmtId="0" fontId="0" fillId="9" borderId="33" xfId="0" applyNumberFormat="1" applyFill="1" applyBorder="1" applyAlignment="1" applyProtection="1">
      <alignment horizontal="left" vertical="center"/>
      <protection hidden="1"/>
    </xf>
    <xf numFmtId="0" fontId="1" fillId="9" borderId="32" xfId="0" applyNumberFormat="1" applyFont="1" applyFill="1" applyBorder="1" applyAlignment="1" applyProtection="1">
      <alignment horizontal="left" vertical="center" wrapText="1"/>
      <protection hidden="1"/>
    </xf>
    <xf numFmtId="0" fontId="0" fillId="9" borderId="38" xfId="0" applyNumberFormat="1" applyFont="1" applyFill="1" applyBorder="1" applyAlignment="1" applyProtection="1">
      <alignment horizontal="left" vertical="center" wrapText="1"/>
      <protection hidden="1"/>
    </xf>
    <xf numFmtId="0" fontId="0" fillId="9" borderId="47" xfId="0" applyNumberFormat="1" applyFont="1" applyFill="1" applyBorder="1" applyAlignment="1" applyProtection="1">
      <alignment horizontal="left" vertical="center" wrapText="1"/>
      <protection hidden="1"/>
    </xf>
    <xf numFmtId="0" fontId="0" fillId="4" borderId="2" xfId="0" applyNumberFormat="1" applyFill="1" applyBorder="1" applyAlignment="1" applyProtection="1">
      <alignment horizontal="center" vertical="center"/>
      <protection hidden="1"/>
    </xf>
    <xf numFmtId="164" fontId="0" fillId="9" borderId="64" xfId="0" applyNumberFormat="1" applyFont="1" applyFill="1" applyBorder="1" applyAlignment="1" applyProtection="1">
      <alignment horizontal="center" vertical="center"/>
      <protection hidden="1"/>
    </xf>
    <xf numFmtId="164" fontId="0" fillId="9" borderId="65" xfId="0" applyNumberFormat="1" applyFont="1" applyFill="1" applyBorder="1" applyAlignment="1" applyProtection="1">
      <alignment horizontal="center" vertical="center"/>
      <protection hidden="1"/>
    </xf>
    <xf numFmtId="0" fontId="1" fillId="9" borderId="2" xfId="0" applyFont="1" applyFill="1" applyBorder="1" applyAlignment="1" applyProtection="1">
      <alignment horizontal="left" vertical="center" wrapText="1"/>
      <protection hidden="1"/>
    </xf>
    <xf numFmtId="0" fontId="1" fillId="0" borderId="66" xfId="0" applyFont="1" applyFill="1" applyBorder="1" applyAlignment="1" applyProtection="1">
      <alignment horizontal="center" vertical="center" wrapText="1"/>
      <protection hidden="1"/>
    </xf>
    <xf numFmtId="0" fontId="0" fillId="9" borderId="47" xfId="0" applyFill="1" applyBorder="1" applyAlignment="1">
      <alignment vertical="center"/>
    </xf>
    <xf numFmtId="0" fontId="0" fillId="9" borderId="47" xfId="0" applyFont="1" applyFill="1" applyBorder="1" applyAlignment="1" applyProtection="1">
      <alignment horizontal="left" vertical="center" wrapText="1"/>
      <protection/>
    </xf>
    <xf numFmtId="0" fontId="0" fillId="9" borderId="47" xfId="0" applyFont="1" applyFill="1" applyBorder="1" applyAlignment="1" applyProtection="1">
      <alignment horizontal="left" vertical="top" wrapText="1"/>
      <protection hidden="1"/>
    </xf>
    <xf numFmtId="0" fontId="0" fillId="9" borderId="47" xfId="0" applyFill="1" applyBorder="1" applyAlignment="1">
      <alignment horizontal="left" vertical="center" wrapText="1"/>
    </xf>
    <xf numFmtId="0" fontId="1" fillId="9" borderId="38" xfId="0" applyFont="1" applyFill="1" applyBorder="1" applyAlignment="1" applyProtection="1">
      <alignment horizontal="left" vertical="center" wrapText="1"/>
      <protection hidden="1"/>
    </xf>
    <xf numFmtId="0" fontId="0" fillId="9" borderId="6" xfId="0" applyFont="1" applyFill="1" applyBorder="1" applyAlignment="1" applyProtection="1">
      <alignment horizontal="left" vertical="center" wrapText="1"/>
      <protection hidden="1"/>
    </xf>
    <xf numFmtId="164" fontId="0" fillId="9" borderId="25" xfId="0" applyNumberFormat="1" applyFill="1" applyBorder="1" applyAlignment="1" applyProtection="1">
      <alignment horizontal="center" vertical="center"/>
      <protection hidden="1"/>
    </xf>
    <xf numFmtId="0" fontId="0" fillId="9" borderId="26" xfId="0" applyFill="1" applyBorder="1" applyAlignment="1">
      <alignment horizontal="center" vertical="center"/>
    </xf>
    <xf numFmtId="0" fontId="1" fillId="9" borderId="67" xfId="0" applyFont="1" applyFill="1" applyBorder="1" applyAlignment="1" applyProtection="1">
      <alignment horizontal="left" vertical="center" wrapText="1"/>
      <protection hidden="1"/>
    </xf>
    <xf numFmtId="0" fontId="0" fillId="9" borderId="67" xfId="0" applyFont="1" applyFill="1" applyBorder="1" applyAlignment="1" applyProtection="1">
      <alignment horizontal="left" vertical="top" wrapText="1"/>
      <protection hidden="1"/>
    </xf>
    <xf numFmtId="0" fontId="0" fillId="9" borderId="67" xfId="0" applyFill="1" applyBorder="1" applyAlignment="1">
      <alignment horizontal="left" vertical="center" wrapText="1"/>
    </xf>
    <xf numFmtId="0" fontId="0" fillId="9" borderId="67" xfId="0" applyFont="1" applyFill="1" applyBorder="1" applyAlignment="1" applyProtection="1">
      <alignment horizontal="left" vertical="center" wrapText="1"/>
      <protection hidden="1"/>
    </xf>
    <xf numFmtId="0" fontId="1" fillId="3" borderId="47" xfId="0" applyFont="1" applyFill="1" applyBorder="1" applyAlignment="1" applyProtection="1">
      <alignment horizontal="center" vertical="center"/>
      <protection hidden="1"/>
    </xf>
    <xf numFmtId="164" fontId="0" fillId="0" borderId="68" xfId="0" applyNumberFormat="1" applyFill="1" applyBorder="1" applyAlignment="1" applyProtection="1">
      <alignment horizontal="center" vertical="center"/>
      <protection locked="0"/>
    </xf>
    <xf numFmtId="0" fontId="0" fillId="0" borderId="38" xfId="0" applyNumberFormat="1" applyFont="1" applyFill="1" applyBorder="1" applyAlignment="1" applyProtection="1">
      <alignment horizontal="center" vertical="center" wrapText="1"/>
      <protection locked="0"/>
    </xf>
    <xf numFmtId="0" fontId="2" fillId="9" borderId="69" xfId="0" applyFont="1" applyFill="1" applyBorder="1" applyAlignment="1" applyProtection="1">
      <alignment horizontal="center" vertical="center" wrapText="1"/>
      <protection hidden="1"/>
    </xf>
    <xf numFmtId="0" fontId="0" fillId="0" borderId="32" xfId="0" applyFont="1" applyFill="1" applyBorder="1" applyAlignment="1" applyProtection="1">
      <alignment horizontal="left" vertical="center" wrapText="1" indent="1"/>
      <protection hidden="1"/>
    </xf>
    <xf numFmtId="0" fontId="0" fillId="0" borderId="2" xfId="0" applyNumberFormat="1" applyFont="1" applyFill="1" applyBorder="1" applyAlignment="1" applyProtection="1">
      <alignment horizontal="center" vertical="center" wrapText="1"/>
      <protection hidden="1"/>
    </xf>
    <xf numFmtId="164" fontId="0" fillId="0" borderId="38" xfId="0" applyNumberFormat="1" applyFill="1" applyBorder="1" applyAlignment="1" applyProtection="1">
      <alignment horizontal="center" vertical="center"/>
      <protection hidden="1"/>
    </xf>
    <xf numFmtId="0" fontId="0" fillId="2" borderId="39" xfId="0" applyFill="1" applyBorder="1" applyAlignment="1" applyProtection="1">
      <alignment horizontal="center" vertical="center"/>
      <protection hidden="1"/>
    </xf>
    <xf numFmtId="164" fontId="0" fillId="0" borderId="2" xfId="0" applyNumberFormat="1"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3" fontId="0" fillId="0" borderId="2" xfId="0" applyNumberFormat="1" applyFill="1" applyBorder="1" applyAlignment="1" applyProtection="1">
      <alignment horizontal="center" vertical="center"/>
      <protection hidden="1"/>
    </xf>
    <xf numFmtId="0" fontId="1" fillId="2" borderId="59" xfId="0" applyFont="1" applyFill="1" applyBorder="1" applyAlignment="1" applyProtection="1">
      <alignment vertical="center" wrapText="1"/>
      <protection hidden="1"/>
    </xf>
    <xf numFmtId="1" fontId="0" fillId="0" borderId="38" xfId="0" applyNumberFormat="1" applyFill="1" applyBorder="1" applyAlignment="1" applyProtection="1">
      <alignment horizontal="center" vertical="center"/>
      <protection hidden="1"/>
    </xf>
    <xf numFmtId="0" fontId="0" fillId="0" borderId="65" xfId="0" applyFont="1" applyFill="1" applyBorder="1" applyAlignment="1" applyProtection="1">
      <alignment vertical="center"/>
      <protection hidden="1"/>
    </xf>
    <xf numFmtId="164" fontId="0" fillId="0" borderId="47" xfId="0" applyNumberFormat="1" applyFill="1" applyBorder="1" applyAlignment="1" applyProtection="1">
      <alignment horizontal="center" vertical="center"/>
      <protection hidden="1"/>
    </xf>
    <xf numFmtId="0" fontId="0" fillId="2" borderId="5" xfId="0" applyFont="1" applyFill="1" applyBorder="1" applyAlignment="1" applyProtection="1">
      <alignment horizontal="center" vertical="center"/>
      <protection hidden="1"/>
    </xf>
    <xf numFmtId="0" fontId="0" fillId="0" borderId="69" xfId="0" applyFont="1" applyFill="1" applyBorder="1" applyAlignment="1" applyProtection="1">
      <alignment horizontal="center" vertical="center" wrapText="1"/>
      <protection hidden="1"/>
    </xf>
    <xf numFmtId="0" fontId="0" fillId="0" borderId="60" xfId="0" applyFont="1" applyFill="1" applyBorder="1" applyAlignment="1" applyProtection="1">
      <alignment horizontal="center" vertical="center" wrapText="1"/>
      <protection hidden="1"/>
    </xf>
    <xf numFmtId="0" fontId="0" fillId="0" borderId="59" xfId="0" applyFont="1" applyFill="1" applyBorder="1" applyAlignment="1" applyProtection="1">
      <alignment horizontal="center" vertical="center" wrapText="1"/>
      <protection hidden="1"/>
    </xf>
    <xf numFmtId="0" fontId="0" fillId="0" borderId="38" xfId="0" applyFont="1" applyFill="1" applyBorder="1" applyAlignment="1" applyProtection="1">
      <alignment horizontal="center" vertical="center" wrapText="1"/>
      <protection hidden="1"/>
    </xf>
    <xf numFmtId="0" fontId="0" fillId="9" borderId="49" xfId="0" applyFill="1" applyBorder="1" applyAlignment="1" applyProtection="1">
      <alignment/>
      <protection hidden="1"/>
    </xf>
    <xf numFmtId="0" fontId="1" fillId="9" borderId="49" xfId="0" applyFont="1" applyFill="1" applyBorder="1" applyAlignment="1" applyProtection="1">
      <alignment wrapText="1"/>
      <protection hidden="1"/>
    </xf>
    <xf numFmtId="0" fontId="0" fillId="10" borderId="1" xfId="0" applyFill="1" applyBorder="1" applyAlignment="1" applyProtection="1">
      <alignment horizontal="center" vertical="center"/>
      <protection hidden="1"/>
    </xf>
    <xf numFmtId="0" fontId="0" fillId="9" borderId="50" xfId="0" applyFill="1" applyBorder="1" applyAlignment="1" applyProtection="1">
      <alignment/>
      <protection hidden="1"/>
    </xf>
    <xf numFmtId="164" fontId="0" fillId="0" borderId="62" xfId="0" applyNumberFormat="1" applyFill="1" applyBorder="1" applyAlignment="1" applyProtection="1">
      <alignment horizontal="center" vertical="center"/>
      <protection hidden="1"/>
    </xf>
    <xf numFmtId="0" fontId="0" fillId="9" borderId="54" xfId="0" applyFill="1" applyBorder="1" applyAlignment="1" applyProtection="1">
      <alignment vertical="center" wrapText="1"/>
      <protection hidden="1"/>
    </xf>
    <xf numFmtId="0" fontId="0" fillId="9" borderId="49" xfId="0" applyFill="1" applyBorder="1" applyAlignment="1" applyProtection="1">
      <alignment vertical="center" wrapText="1"/>
      <protection hidden="1"/>
    </xf>
    <xf numFmtId="1" fontId="0" fillId="0" borderId="38" xfId="0" applyNumberFormat="1" applyFont="1" applyFill="1" applyBorder="1" applyAlignment="1" applyProtection="1">
      <alignment horizontal="center" vertical="center" wrapText="1"/>
      <protection hidden="1"/>
    </xf>
    <xf numFmtId="0" fontId="0" fillId="9" borderId="70" xfId="0" applyFill="1" applyBorder="1" applyAlignment="1" applyProtection="1">
      <alignment horizontal="center" vertical="center"/>
      <protection hidden="1"/>
    </xf>
    <xf numFmtId="0" fontId="0" fillId="9" borderId="36" xfId="0" applyFill="1" applyBorder="1" applyAlignment="1" applyProtection="1">
      <alignment horizontal="center" vertical="center"/>
      <protection hidden="1"/>
    </xf>
    <xf numFmtId="0" fontId="0" fillId="9" borderId="51" xfId="0" applyFill="1" applyBorder="1" applyAlignment="1" applyProtection="1">
      <alignment vertical="center" wrapText="1"/>
      <protection hidden="1"/>
    </xf>
    <xf numFmtId="164" fontId="0" fillId="0" borderId="71" xfId="0" applyNumberFormat="1" applyFill="1" applyBorder="1" applyAlignment="1" applyProtection="1">
      <alignment horizontal="center" vertical="center"/>
      <protection hidden="1"/>
    </xf>
    <xf numFmtId="164" fontId="0" fillId="0" borderId="31" xfId="0" applyNumberFormat="1" applyFill="1" applyBorder="1" applyAlignment="1" applyProtection="1">
      <alignment horizontal="center" vertical="center"/>
      <protection hidden="1"/>
    </xf>
    <xf numFmtId="0" fontId="0" fillId="9" borderId="54" xfId="0" applyFill="1" applyBorder="1" applyAlignment="1" applyProtection="1">
      <alignment vertical="center"/>
      <protection hidden="1"/>
    </xf>
    <xf numFmtId="0" fontId="1" fillId="9" borderId="68" xfId="0" applyFont="1" applyFill="1" applyBorder="1" applyAlignment="1" applyProtection="1">
      <alignment vertical="center" wrapText="1"/>
      <protection hidden="1"/>
    </xf>
    <xf numFmtId="0" fontId="1" fillId="9" borderId="72" xfId="0" applyFont="1" applyFill="1" applyBorder="1" applyAlignment="1" applyProtection="1">
      <alignment vertical="center" wrapText="1"/>
      <protection hidden="1"/>
    </xf>
    <xf numFmtId="0" fontId="0" fillId="0" borderId="0" xfId="0" applyNumberFormat="1" applyAlignment="1" applyProtection="1">
      <alignment/>
      <protection/>
    </xf>
    <xf numFmtId="0" fontId="1" fillId="0" borderId="44" xfId="0" applyFont="1" applyFill="1" applyBorder="1" applyAlignment="1" applyProtection="1">
      <alignment horizontal="left" vertical="center" wrapText="1" indent="1"/>
      <protection hidden="1"/>
    </xf>
    <xf numFmtId="49" fontId="0" fillId="0" borderId="0" xfId="0" applyNumberFormat="1" applyBorder="1" applyAlignment="1" applyProtection="1">
      <alignment horizontal="left" indent="1"/>
      <protection hidden="1"/>
    </xf>
    <xf numFmtId="49" fontId="0" fillId="0" borderId="61" xfId="0" applyNumberFormat="1" applyFont="1" applyBorder="1" applyAlignment="1" applyProtection="1">
      <alignment horizontal="left" indent="1"/>
      <protection locked="0"/>
    </xf>
    <xf numFmtId="164" fontId="0" fillId="9" borderId="72" xfId="0" applyNumberFormat="1" applyFill="1" applyBorder="1" applyAlignment="1" applyProtection="1">
      <alignment horizontal="center" vertical="center"/>
      <protection hidden="1"/>
    </xf>
    <xf numFmtId="164" fontId="0" fillId="9" borderId="73" xfId="0" applyNumberFormat="1" applyFill="1" applyBorder="1" applyAlignment="1" applyProtection="1">
      <alignment horizontal="center" vertical="center"/>
      <protection hidden="1"/>
    </xf>
    <xf numFmtId="0" fontId="0" fillId="0" borderId="5" xfId="0" applyBorder="1" applyAlignment="1" applyProtection="1">
      <alignment horizontal="left" vertical="center" wrapText="1" indent="1"/>
      <protection hidden="1"/>
    </xf>
    <xf numFmtId="0" fontId="0" fillId="0" borderId="1" xfId="0" applyBorder="1" applyAlignment="1" applyProtection="1">
      <alignment horizontal="left" vertical="center" wrapText="1" indent="1"/>
      <protection hidden="1"/>
    </xf>
    <xf numFmtId="0" fontId="0" fillId="0" borderId="3" xfId="0" applyBorder="1" applyAlignment="1" applyProtection="1">
      <alignment horizontal="left" vertical="center" wrapText="1" indent="1"/>
      <protection hidden="1"/>
    </xf>
    <xf numFmtId="0" fontId="0" fillId="0" borderId="48" xfId="0" applyBorder="1" applyAlignment="1" applyProtection="1">
      <alignment horizontal="left" vertical="center" wrapText="1" indent="1"/>
      <protection hidden="1"/>
    </xf>
    <xf numFmtId="0" fontId="27" fillId="0" borderId="0" xfId="0" applyNumberFormat="1" applyFont="1" applyFill="1" applyBorder="1" applyAlignment="1" applyProtection="1">
      <alignment/>
      <protection hidden="1"/>
    </xf>
    <xf numFmtId="164" fontId="0" fillId="4" borderId="40" xfId="0" applyNumberFormat="1" applyFill="1" applyBorder="1" applyAlignment="1" applyProtection="1">
      <alignment horizontal="center" vertical="center"/>
      <protection hidden="1"/>
    </xf>
    <xf numFmtId="49" fontId="0" fillId="0" borderId="40" xfId="0" applyNumberFormat="1" applyFont="1" applyBorder="1" applyAlignment="1" applyProtection="1">
      <alignment horizontal="left" indent="1"/>
      <protection locked="0"/>
    </xf>
    <xf numFmtId="49" fontId="0" fillId="0" borderId="40" xfId="0" applyNumberFormat="1" applyFont="1" applyBorder="1" applyAlignment="1" applyProtection="1">
      <alignment horizontal="left" wrapText="1" indent="1"/>
      <protection locked="0"/>
    </xf>
    <xf numFmtId="49" fontId="0" fillId="0" borderId="74" xfId="0" applyNumberFormat="1" applyFont="1" applyBorder="1" applyAlignment="1" applyProtection="1">
      <alignment horizontal="left" indent="1"/>
      <protection locked="0"/>
    </xf>
    <xf numFmtId="0" fontId="0" fillId="0" borderId="0" xfId="0" applyAlignment="1" applyProtection="1">
      <alignment vertical="top"/>
      <protection/>
    </xf>
    <xf numFmtId="49" fontId="0" fillId="0" borderId="36" xfId="0" applyNumberFormat="1" applyFont="1" applyFill="1" applyBorder="1" applyAlignment="1" applyProtection="1">
      <alignment horizontal="center" vertical="center"/>
      <protection hidden="1"/>
    </xf>
    <xf numFmtId="49" fontId="5" fillId="0" borderId="33" xfId="0" applyNumberFormat="1" applyFont="1" applyFill="1" applyBorder="1" applyAlignment="1" applyProtection="1">
      <alignment horizontal="center" vertical="center"/>
      <protection hidden="1"/>
    </xf>
    <xf numFmtId="0" fontId="1" fillId="0" borderId="0" xfId="0" applyNumberFormat="1" applyFont="1" applyFill="1" applyBorder="1" applyAlignment="1" applyProtection="1">
      <alignment horizontal="left"/>
      <protection hidden="1"/>
    </xf>
    <xf numFmtId="164" fontId="0" fillId="0" borderId="75" xfId="0" applyNumberFormat="1" applyFill="1" applyBorder="1" applyAlignment="1" applyProtection="1">
      <alignment horizontal="center" vertical="center"/>
      <protection hidden="1"/>
    </xf>
    <xf numFmtId="168" fontId="9" fillId="0" borderId="0" xfId="21" applyProtection="1">
      <alignment/>
      <protection hidden="1"/>
    </xf>
    <xf numFmtId="49" fontId="0" fillId="0" borderId="0" xfId="0" applyNumberFormat="1" applyFont="1" applyFill="1" applyBorder="1" applyAlignment="1" applyProtection="1">
      <alignment horizontal="left"/>
      <protection hidden="1"/>
    </xf>
    <xf numFmtId="49" fontId="24" fillId="7" borderId="76" xfId="21" applyNumberFormat="1" applyFont="1" applyFill="1" applyBorder="1" applyAlignment="1" applyProtection="1">
      <alignment horizontal="center" vertical="center" wrapText="1"/>
      <protection hidden="1"/>
    </xf>
    <xf numFmtId="167" fontId="19" fillId="7" borderId="19" xfId="21" applyNumberFormat="1" applyFont="1" applyFill="1" applyBorder="1" applyProtection="1">
      <alignment/>
      <protection hidden="1"/>
    </xf>
    <xf numFmtId="49" fontId="24" fillId="7" borderId="77" xfId="21" applyNumberFormat="1" applyFont="1" applyFill="1" applyBorder="1" applyAlignment="1" applyProtection="1">
      <alignment wrapText="1"/>
      <protection hidden="1"/>
    </xf>
    <xf numFmtId="164" fontId="0" fillId="4" borderId="72" xfId="0" applyNumberFormat="1" applyFill="1" applyBorder="1" applyAlignment="1" applyProtection="1">
      <alignment horizontal="center" vertical="center"/>
      <protection hidden="1"/>
    </xf>
    <xf numFmtId="0" fontId="0" fillId="0" borderId="59" xfId="0" applyFont="1" applyFill="1" applyBorder="1" applyAlignment="1" applyProtection="1">
      <alignment horizontal="left" vertical="center" wrapText="1" indent="1"/>
      <protection hidden="1"/>
    </xf>
    <xf numFmtId="0" fontId="0" fillId="0" borderId="78" xfId="0" applyFont="1" applyFill="1" applyBorder="1" applyAlignment="1" applyProtection="1">
      <alignment horizontal="left" vertical="center" wrapText="1" indent="1"/>
      <protection hidden="1"/>
    </xf>
    <xf numFmtId="164" fontId="0" fillId="0" borderId="59" xfId="0" applyNumberFormat="1" applyFont="1" applyFill="1" applyBorder="1" applyAlignment="1" applyProtection="1">
      <alignment horizontal="center" vertical="center" wrapText="1"/>
      <protection hidden="1"/>
    </xf>
    <xf numFmtId="164" fontId="0" fillId="0" borderId="38" xfId="0" applyNumberFormat="1" applyFont="1" applyFill="1" applyBorder="1" applyAlignment="1" applyProtection="1">
      <alignment horizontal="center" vertical="center" wrapText="1"/>
      <protection hidden="1"/>
    </xf>
    <xf numFmtId="0" fontId="0" fillId="0" borderId="4" xfId="0" applyFont="1" applyFill="1" applyBorder="1" applyAlignment="1" applyProtection="1">
      <alignment vertical="center"/>
      <protection locked="0"/>
    </xf>
    <xf numFmtId="0" fontId="1" fillId="0" borderId="79" xfId="0" applyFont="1" applyFill="1" applyBorder="1" applyAlignment="1" applyProtection="1">
      <alignment horizontal="left" vertical="center" wrapText="1" indent="1"/>
      <protection hidden="1"/>
    </xf>
    <xf numFmtId="0" fontId="2" fillId="9" borderId="64" xfId="0" applyFont="1" applyFill="1" applyBorder="1" applyAlignment="1" applyProtection="1">
      <alignment horizontal="center" vertical="center" wrapText="1"/>
      <protection hidden="1"/>
    </xf>
    <xf numFmtId="0" fontId="2" fillId="9" borderId="50" xfId="0" applyFont="1" applyFill="1" applyBorder="1" applyAlignment="1" applyProtection="1">
      <alignment horizontal="center" vertical="center" wrapText="1"/>
      <protection hidden="1"/>
    </xf>
    <xf numFmtId="0" fontId="0" fillId="0" borderId="48" xfId="0" applyNumberFormat="1" applyFont="1" applyFill="1" applyBorder="1" applyAlignment="1" applyProtection="1">
      <alignment horizontal="left" vertical="center" wrapText="1" indent="1"/>
      <protection/>
    </xf>
    <xf numFmtId="0" fontId="0" fillId="0" borderId="80" xfId="0" applyFont="1" applyFill="1" applyBorder="1" applyAlignment="1" applyProtection="1">
      <alignment horizontal="left" vertical="center" wrapText="1" indent="1"/>
      <protection/>
    </xf>
    <xf numFmtId="0" fontId="0" fillId="0" borderId="81" xfId="0" applyFont="1" applyFill="1" applyBorder="1" applyAlignment="1" applyProtection="1">
      <alignment horizontal="left" vertical="center" wrapText="1" indent="1"/>
      <protection/>
    </xf>
    <xf numFmtId="0" fontId="1" fillId="0" borderId="81" xfId="0" applyFont="1" applyFill="1" applyBorder="1" applyAlignment="1" applyProtection="1">
      <alignment horizontal="left" vertical="center" wrapText="1" indent="1"/>
      <protection/>
    </xf>
    <xf numFmtId="0" fontId="1" fillId="0" borderId="1" xfId="0" applyFont="1" applyFill="1" applyBorder="1" applyAlignment="1" applyProtection="1">
      <alignment horizontal="left" vertical="center" wrapText="1" indent="1"/>
      <protection/>
    </xf>
    <xf numFmtId="0" fontId="1" fillId="0" borderId="82" xfId="0" applyFont="1" applyFill="1" applyBorder="1" applyAlignment="1" applyProtection="1">
      <alignment horizontal="left" vertical="center" wrapText="1" indent="1"/>
      <protection/>
    </xf>
    <xf numFmtId="0" fontId="0" fillId="0" borderId="1" xfId="0" applyFont="1" applyFill="1" applyBorder="1" applyAlignment="1" applyProtection="1">
      <alignment horizontal="left" vertical="center" wrapText="1" indent="1"/>
      <protection/>
    </xf>
    <xf numFmtId="0" fontId="0" fillId="0" borderId="81" xfId="0" applyNumberFormat="1" applyFont="1" applyFill="1" applyBorder="1" applyAlignment="1" applyProtection="1">
      <alignment horizontal="left" vertical="center" wrapText="1" indent="1"/>
      <protection/>
    </xf>
    <xf numFmtId="0" fontId="0" fillId="0" borderId="83" xfId="0" applyNumberFormat="1" applyFont="1" applyFill="1" applyBorder="1" applyAlignment="1" applyProtection="1">
      <alignment horizontal="left" vertical="center" wrapText="1" indent="1"/>
      <protection/>
    </xf>
    <xf numFmtId="0" fontId="1" fillId="0" borderId="63" xfId="0" applyFont="1" applyFill="1" applyBorder="1" applyAlignment="1" applyProtection="1">
      <alignment horizontal="left" vertical="center" wrapText="1" indent="1"/>
      <protection/>
    </xf>
    <xf numFmtId="0" fontId="1" fillId="0" borderId="84" xfId="0" applyFont="1" applyFill="1" applyBorder="1" applyAlignment="1" applyProtection="1">
      <alignment horizontal="left" vertical="center" wrapText="1" indent="1"/>
      <protection/>
    </xf>
    <xf numFmtId="0" fontId="0" fillId="0" borderId="83" xfId="0" applyFont="1" applyFill="1" applyBorder="1" applyAlignment="1" applyProtection="1">
      <alignment horizontal="left" vertical="center" wrapText="1" indent="1"/>
      <protection/>
    </xf>
    <xf numFmtId="0" fontId="0" fillId="0" borderId="48" xfId="0" applyFont="1" applyFill="1" applyBorder="1" applyAlignment="1" applyProtection="1">
      <alignment horizontal="left" vertical="center" wrapText="1" indent="1"/>
      <protection/>
    </xf>
    <xf numFmtId="0" fontId="0" fillId="0" borderId="82" xfId="0" applyFont="1" applyFill="1" applyBorder="1" applyAlignment="1" applyProtection="1">
      <alignment horizontal="left" vertical="center" wrapText="1" indent="1"/>
      <protection/>
    </xf>
    <xf numFmtId="0" fontId="0" fillId="0" borderId="7" xfId="0" applyFont="1" applyFill="1" applyBorder="1" applyAlignment="1" applyProtection="1">
      <alignment horizontal="left" vertical="center" wrapText="1" indent="1"/>
      <protection/>
    </xf>
    <xf numFmtId="0" fontId="1" fillId="0" borderId="7" xfId="0" applyFont="1" applyFill="1" applyBorder="1" applyAlignment="1" applyProtection="1">
      <alignment horizontal="left" vertical="center" wrapText="1" indent="1"/>
      <protection/>
    </xf>
    <xf numFmtId="0" fontId="0" fillId="0" borderId="3" xfId="0" applyNumberFormat="1" applyFont="1" applyFill="1" applyBorder="1" applyAlignment="1" applyProtection="1">
      <alignment horizontal="left" vertical="center" wrapText="1" indent="1"/>
      <protection/>
    </xf>
    <xf numFmtId="0" fontId="2" fillId="9" borderId="85" xfId="0" applyFont="1" applyFill="1" applyBorder="1" applyAlignment="1" applyProtection="1">
      <alignment horizontal="center" vertical="center" wrapText="1"/>
      <protection hidden="1"/>
    </xf>
    <xf numFmtId="0" fontId="0" fillId="0" borderId="0" xfId="0" applyAlignment="1" applyProtection="1">
      <alignment/>
      <protection locked="0"/>
    </xf>
    <xf numFmtId="49" fontId="1" fillId="0" borderId="0" xfId="0" applyNumberFormat="1" applyFont="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horizontal="centerContinuous" wrapText="1"/>
      <protection hidden="1"/>
    </xf>
    <xf numFmtId="0" fontId="28" fillId="0" borderId="0" xfId="0" applyFont="1" applyAlignment="1">
      <alignment/>
    </xf>
    <xf numFmtId="164" fontId="0" fillId="4" borderId="2" xfId="0" applyNumberFormat="1" applyFill="1" applyBorder="1" applyAlignment="1" applyProtection="1">
      <alignment horizontal="center" vertical="center"/>
      <protection hidden="1" locked="0"/>
    </xf>
    <xf numFmtId="164" fontId="0" fillId="4" borderId="6" xfId="0" applyNumberFormat="1" applyFill="1" applyBorder="1" applyAlignment="1" applyProtection="1">
      <alignment horizontal="center" vertical="center"/>
      <protection hidden="1" locked="0"/>
    </xf>
    <xf numFmtId="164" fontId="0" fillId="4" borderId="40" xfId="0" applyNumberFormat="1" applyFill="1" applyBorder="1" applyAlignment="1" applyProtection="1">
      <alignment horizontal="center" vertical="center"/>
      <protection hidden="1" locked="0"/>
    </xf>
    <xf numFmtId="164" fontId="0" fillId="4" borderId="4" xfId="0" applyNumberFormat="1" applyFill="1" applyBorder="1" applyAlignment="1" applyProtection="1">
      <alignment horizontal="center" vertical="center"/>
      <protection hidden="1" locked="0"/>
    </xf>
    <xf numFmtId="49" fontId="24" fillId="7" borderId="76" xfId="21" applyNumberFormat="1" applyFont="1" applyFill="1" applyBorder="1" applyAlignment="1" applyProtection="1">
      <alignment horizontal="center" vertical="center" wrapText="1"/>
      <protection hidden="1" locked="0"/>
    </xf>
    <xf numFmtId="167" fontId="19" fillId="7" borderId="19" xfId="21" applyNumberFormat="1" applyFont="1" applyFill="1" applyBorder="1" applyProtection="1">
      <alignment/>
      <protection hidden="1" locked="0"/>
    </xf>
    <xf numFmtId="49" fontId="24" fillId="7" borderId="77" xfId="21" applyNumberFormat="1" applyFont="1" applyFill="1" applyBorder="1" applyAlignment="1" applyProtection="1">
      <alignment wrapText="1"/>
      <protection hidden="1" locked="0"/>
    </xf>
    <xf numFmtId="0" fontId="1" fillId="0" borderId="0" xfId="0" applyFont="1" applyAlignment="1" applyProtection="1">
      <alignment horizontal="left"/>
      <protection hidden="1"/>
    </xf>
    <xf numFmtId="0" fontId="1" fillId="2" borderId="28" xfId="0" applyFont="1" applyFill="1" applyBorder="1" applyAlignment="1" applyProtection="1">
      <alignment vertical="center" wrapText="1"/>
      <protection hidden="1"/>
    </xf>
    <xf numFmtId="0" fontId="0" fillId="0" borderId="67" xfId="0" applyBorder="1" applyAlignment="1" applyProtection="1">
      <alignment vertical="center"/>
      <protection hidden="1"/>
    </xf>
    <xf numFmtId="49" fontId="0" fillId="0" borderId="0" xfId="0" applyNumberFormat="1" applyFont="1" applyFill="1" applyBorder="1" applyAlignment="1" applyProtection="1">
      <alignment horizontal="left"/>
      <protection hidden="1"/>
    </xf>
    <xf numFmtId="0" fontId="0" fillId="9" borderId="86" xfId="0" applyFont="1" applyFill="1" applyBorder="1" applyAlignment="1" applyProtection="1">
      <alignment horizontal="center" wrapText="1"/>
      <protection hidden="1"/>
    </xf>
    <xf numFmtId="0" fontId="0" fillId="9" borderId="85" xfId="0" applyFont="1" applyFill="1" applyBorder="1" applyAlignment="1" applyProtection="1">
      <alignment horizontal="center" wrapText="1"/>
      <protection hidden="1"/>
    </xf>
    <xf numFmtId="0" fontId="0" fillId="9" borderId="49" xfId="0" applyFont="1" applyFill="1" applyBorder="1" applyAlignment="1" applyProtection="1">
      <alignment horizontal="center" wrapText="1"/>
      <protection hidden="1"/>
    </xf>
    <xf numFmtId="0" fontId="0" fillId="2" borderId="35" xfId="0" applyFill="1" applyBorder="1" applyAlignment="1" applyProtection="1">
      <alignment horizontal="left" vertical="center" wrapText="1"/>
      <protection hidden="1"/>
    </xf>
    <xf numFmtId="0" fontId="1" fillId="2" borderId="25" xfId="0" applyFont="1" applyFill="1" applyBorder="1" applyAlignment="1" applyProtection="1">
      <alignment horizontal="left" vertical="center" wrapText="1"/>
      <protection hidden="1"/>
    </xf>
    <xf numFmtId="0" fontId="0" fillId="0" borderId="43" xfId="0" applyBorder="1" applyAlignment="1" applyProtection="1">
      <alignment horizontal="left" vertical="center" wrapText="1"/>
      <protection hidden="1"/>
    </xf>
    <xf numFmtId="0" fontId="1" fillId="2" borderId="25" xfId="0" applyFont="1" applyFill="1" applyBorder="1" applyAlignment="1" applyProtection="1">
      <alignment horizontal="left" vertical="top" wrapText="1"/>
      <protection hidden="1"/>
    </xf>
    <xf numFmtId="0" fontId="0" fillId="2" borderId="43" xfId="0" applyFont="1" applyFill="1" applyBorder="1" applyAlignment="1" applyProtection="1">
      <alignment horizontal="left" vertical="top" wrapText="1"/>
      <protection hidden="1"/>
    </xf>
    <xf numFmtId="0" fontId="1" fillId="2" borderId="59" xfId="0" applyFont="1" applyFill="1" applyBorder="1" applyAlignment="1" applyProtection="1">
      <alignment horizontal="left" vertical="top" wrapText="1"/>
      <protection hidden="1"/>
    </xf>
    <xf numFmtId="0" fontId="0" fillId="2" borderId="56" xfId="0" applyFont="1" applyFill="1" applyBorder="1" applyAlignment="1" applyProtection="1">
      <alignment horizontal="left" vertical="top" wrapText="1"/>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left" vertical="center"/>
      <protection hidden="1"/>
    </xf>
    <xf numFmtId="0" fontId="0" fillId="0" borderId="0" xfId="0" applyAlignment="1" applyProtection="1">
      <alignment/>
      <protection hidden="1"/>
    </xf>
    <xf numFmtId="0" fontId="0" fillId="0" borderId="0" xfId="0" applyFont="1" applyAlignment="1" applyProtection="1">
      <alignment horizontal="left"/>
      <protection hidden="1"/>
    </xf>
    <xf numFmtId="0" fontId="0" fillId="0" borderId="0" xfId="0" applyFont="1" applyFill="1" applyBorder="1" applyAlignment="1" applyProtection="1">
      <alignment horizontal="left" wrapText="1"/>
      <protection hidden="1"/>
    </xf>
    <xf numFmtId="0" fontId="0" fillId="0" borderId="87" xfId="0" applyBorder="1" applyAlignment="1" applyProtection="1">
      <alignment vertical="center"/>
      <protection hidden="1"/>
    </xf>
    <xf numFmtId="0" fontId="1" fillId="2" borderId="32" xfId="0" applyFont="1" applyFill="1" applyBorder="1" applyAlignment="1" applyProtection="1">
      <alignment vertical="center" wrapText="1"/>
      <protection hidden="1"/>
    </xf>
    <xf numFmtId="0" fontId="1" fillId="0" borderId="65" xfId="0" applyFont="1" applyBorder="1" applyAlignment="1" applyProtection="1">
      <alignment horizontal="center" vertical="center" wrapText="1"/>
      <protection hidden="1" locked="0"/>
    </xf>
    <xf numFmtId="0" fontId="1" fillId="0" borderId="65" xfId="0" applyFont="1" applyBorder="1" applyAlignment="1" applyProtection="1">
      <alignment horizontal="center" vertical="center"/>
      <protection hidden="1" locked="0"/>
    </xf>
    <xf numFmtId="0" fontId="1" fillId="0" borderId="65" xfId="0" applyFont="1" applyBorder="1" applyAlignment="1" applyProtection="1">
      <alignment horizontal="center" vertical="center" wrapText="1"/>
      <protection hidden="1"/>
    </xf>
    <xf numFmtId="0" fontId="1" fillId="0" borderId="65" xfId="0" applyFont="1" applyBorder="1" applyAlignment="1" applyProtection="1">
      <alignment horizontal="center" vertical="center"/>
      <protection hidden="1"/>
    </xf>
    <xf numFmtId="0" fontId="5" fillId="0" borderId="0" xfId="0" applyFont="1" applyFill="1" applyBorder="1" applyAlignment="1" applyProtection="1">
      <alignment horizontal="center"/>
      <protection hidden="1"/>
    </xf>
    <xf numFmtId="49" fontId="1" fillId="0" borderId="0" xfId="0" applyNumberFormat="1" applyFont="1" applyFill="1" applyBorder="1" applyAlignment="1" applyProtection="1">
      <alignment horizontal="left"/>
      <protection hidden="1"/>
    </xf>
    <xf numFmtId="0" fontId="1" fillId="0" borderId="0" xfId="0" applyFont="1" applyAlignment="1" applyProtection="1">
      <alignment horizontal="left"/>
      <protection hidden="1"/>
    </xf>
    <xf numFmtId="49" fontId="0" fillId="0" borderId="0" xfId="0" applyNumberFormat="1"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1" fillId="9" borderId="54" xfId="0" applyFont="1" applyFill="1" applyBorder="1" applyAlignment="1" applyProtection="1">
      <alignment vertical="center" wrapText="1"/>
      <protection hidden="1"/>
    </xf>
    <xf numFmtId="0" fontId="1" fillId="0" borderId="54" xfId="0" applyFont="1" applyBorder="1" applyAlignment="1" applyProtection="1">
      <alignment vertical="center" wrapText="1"/>
      <protection hidden="1"/>
    </xf>
    <xf numFmtId="0" fontId="0" fillId="2" borderId="32" xfId="0" applyFont="1" applyFill="1" applyBorder="1" applyAlignment="1" applyProtection="1">
      <alignment vertical="center" wrapText="1"/>
      <protection hidden="1"/>
    </xf>
    <xf numFmtId="0" fontId="0" fillId="0" borderId="35" xfId="0" applyBorder="1" applyAlignment="1" applyProtection="1">
      <alignment vertical="center"/>
      <protection hidden="1"/>
    </xf>
    <xf numFmtId="0" fontId="0" fillId="10" borderId="7" xfId="0" applyFill="1" applyBorder="1" applyAlignment="1" applyProtection="1">
      <alignment horizontal="center" vertical="center"/>
      <protection hidden="1"/>
    </xf>
    <xf numFmtId="0" fontId="0" fillId="10" borderId="48" xfId="0" applyFill="1" applyBorder="1" applyAlignment="1" applyProtection="1">
      <alignment horizontal="center" vertical="center"/>
      <protection hidden="1"/>
    </xf>
    <xf numFmtId="0" fontId="1" fillId="2" borderId="32" xfId="0" applyFont="1" applyFill="1" applyBorder="1" applyAlignment="1" applyProtection="1">
      <alignment horizontal="left" vertical="center" wrapText="1"/>
      <protection hidden="1"/>
    </xf>
    <xf numFmtId="0" fontId="0" fillId="2" borderId="35" xfId="0" applyFont="1" applyFill="1" applyBorder="1" applyAlignment="1" applyProtection="1">
      <alignment horizontal="left" vertical="center" wrapText="1"/>
      <protection hidden="1"/>
    </xf>
    <xf numFmtId="0" fontId="0" fillId="2" borderId="7" xfId="0" applyFill="1"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1" fillId="2" borderId="78" xfId="0" applyFont="1" applyFill="1" applyBorder="1" applyAlignment="1" applyProtection="1">
      <alignment horizontal="left" vertical="center" wrapText="1"/>
      <protection hidden="1"/>
    </xf>
    <xf numFmtId="0" fontId="1" fillId="2" borderId="88" xfId="0" applyFont="1" applyFill="1" applyBorder="1" applyAlignment="1" applyProtection="1">
      <alignment horizontal="left" vertical="center" wrapText="1"/>
      <protection hidden="1"/>
    </xf>
    <xf numFmtId="0" fontId="1" fillId="2" borderId="69" xfId="0" applyFont="1" applyFill="1" applyBorder="1" applyAlignment="1" applyProtection="1">
      <alignment horizontal="left" vertical="center" wrapText="1"/>
      <protection hidden="1"/>
    </xf>
    <xf numFmtId="0" fontId="0" fillId="2" borderId="87" xfId="0" applyFont="1" applyFill="1" applyBorder="1" applyAlignment="1" applyProtection="1">
      <alignment horizontal="left" vertical="center" wrapText="1"/>
      <protection hidden="1"/>
    </xf>
    <xf numFmtId="0" fontId="0" fillId="9" borderId="89" xfId="0" applyFill="1" applyBorder="1" applyAlignment="1" applyProtection="1">
      <alignment/>
      <protection hidden="1"/>
    </xf>
    <xf numFmtId="0" fontId="0" fillId="9" borderId="51" xfId="0" applyFill="1" applyBorder="1" applyAlignment="1" applyProtection="1">
      <alignment/>
      <protection hidden="1"/>
    </xf>
    <xf numFmtId="0" fontId="1" fillId="3" borderId="90" xfId="0" applyFont="1" applyFill="1" applyBorder="1" applyAlignment="1" applyProtection="1">
      <alignment horizontal="center" vertical="center" wrapText="1"/>
      <protection hidden="1"/>
    </xf>
    <xf numFmtId="0" fontId="1" fillId="3" borderId="91" xfId="0" applyFont="1" applyFill="1" applyBorder="1" applyAlignment="1" applyProtection="1">
      <alignment horizontal="center" vertical="center" wrapText="1"/>
      <protection hidden="1"/>
    </xf>
    <xf numFmtId="0" fontId="1" fillId="2" borderId="92" xfId="0" applyFont="1" applyFill="1" applyBorder="1" applyAlignment="1" applyProtection="1">
      <alignment vertical="center" wrapText="1"/>
      <protection hidden="1"/>
    </xf>
    <xf numFmtId="0" fontId="0" fillId="0" borderId="0" xfId="0" applyFont="1" applyFill="1" applyBorder="1" applyAlignment="1" applyProtection="1">
      <alignment horizontal="left"/>
      <protection hidden="1"/>
    </xf>
    <xf numFmtId="0" fontId="0" fillId="0" borderId="0" xfId="0" applyFont="1" applyFill="1" applyBorder="1" applyAlignment="1" applyProtection="1">
      <alignment horizontal="left" vertical="center" indent="1"/>
      <protection hidden="1"/>
    </xf>
    <xf numFmtId="0" fontId="0" fillId="0" borderId="0" xfId="0" applyAlignment="1" applyProtection="1">
      <alignment horizontal="left"/>
      <protection hidden="1"/>
    </xf>
    <xf numFmtId="0" fontId="0" fillId="0" borderId="0" xfId="0" applyNumberFormat="1" applyAlignment="1" applyProtection="1">
      <alignment horizontal="left"/>
      <protection hidden="1"/>
    </xf>
    <xf numFmtId="49" fontId="0" fillId="0" borderId="36" xfId="0" applyNumberFormat="1" applyFont="1" applyBorder="1" applyAlignment="1" applyProtection="1">
      <alignment horizontal="left" indent="1"/>
      <protection hidden="1"/>
    </xf>
    <xf numFmtId="0" fontId="0" fillId="0" borderId="36" xfId="0" applyFont="1" applyBorder="1" applyAlignment="1" applyProtection="1">
      <alignment horizontal="left" indent="1"/>
      <protection hidden="1"/>
    </xf>
    <xf numFmtId="0" fontId="0" fillId="0" borderId="33" xfId="0" applyFont="1" applyBorder="1" applyAlignment="1" applyProtection="1">
      <alignment horizontal="left" indent="1"/>
      <protection hidden="1"/>
    </xf>
    <xf numFmtId="0" fontId="1" fillId="0" borderId="0" xfId="0" applyFont="1" applyAlignment="1" applyProtection="1">
      <alignment horizontal="left" wrapText="1"/>
      <protection hidden="1"/>
    </xf>
    <xf numFmtId="49" fontId="0" fillId="0" borderId="33" xfId="0" applyNumberFormat="1" applyFont="1" applyBorder="1" applyAlignment="1" applyProtection="1">
      <alignment horizontal="left" indent="1"/>
      <protection hidden="1"/>
    </xf>
    <xf numFmtId="49" fontId="0" fillId="0" borderId="26" xfId="0" applyNumberFormat="1" applyBorder="1" applyAlignment="1" applyProtection="1">
      <alignment horizontal="left" indent="1"/>
      <protection hidden="1"/>
    </xf>
    <xf numFmtId="0" fontId="0" fillId="0" borderId="0" xfId="0" applyBorder="1" applyAlignment="1" applyProtection="1">
      <alignment horizontal="left" indent="1"/>
      <protection hidden="1"/>
    </xf>
    <xf numFmtId="0" fontId="2" fillId="9" borderId="28" xfId="0" applyFont="1" applyFill="1" applyBorder="1" applyAlignment="1" applyProtection="1">
      <alignment horizontal="center" vertical="center" wrapText="1"/>
      <protection hidden="1"/>
    </xf>
    <xf numFmtId="0" fontId="2" fillId="9" borderId="0" xfId="0" applyFont="1" applyFill="1" applyBorder="1" applyAlignment="1" applyProtection="1">
      <alignment horizontal="center" vertical="center" wrapText="1"/>
      <protection hidden="1"/>
    </xf>
    <xf numFmtId="0" fontId="2" fillId="9" borderId="49" xfId="0" applyFont="1" applyFill="1" applyBorder="1" applyAlignment="1" applyProtection="1">
      <alignment horizontal="center" vertical="center" wrapText="1"/>
      <protection hidden="1"/>
    </xf>
    <xf numFmtId="0" fontId="2" fillId="9" borderId="64" xfId="0" applyFont="1" applyFill="1" applyBorder="1" applyAlignment="1" applyProtection="1">
      <alignment horizontal="center" vertical="center" wrapText="1"/>
      <protection hidden="1"/>
    </xf>
    <xf numFmtId="0" fontId="2" fillId="9" borderId="65" xfId="0" applyFont="1" applyFill="1" applyBorder="1" applyAlignment="1" applyProtection="1">
      <alignment horizontal="center" vertical="center" wrapText="1"/>
      <protection hidden="1"/>
    </xf>
    <xf numFmtId="0" fontId="2" fillId="9" borderId="50" xfId="0" applyFont="1" applyFill="1" applyBorder="1" applyAlignment="1" applyProtection="1">
      <alignment horizontal="center" vertical="center" wrapText="1"/>
      <protection hidden="1"/>
    </xf>
    <xf numFmtId="0" fontId="0" fillId="2" borderId="32" xfId="0" applyFont="1" applyFill="1" applyBorder="1" applyAlignment="1" applyProtection="1">
      <alignment horizontal="left" vertical="center" wrapText="1"/>
      <protection hidden="1"/>
    </xf>
    <xf numFmtId="0" fontId="0" fillId="0" borderId="35" xfId="0" applyBorder="1" applyAlignment="1" applyProtection="1">
      <alignment vertical="center" wrapText="1"/>
      <protection hidden="1"/>
    </xf>
    <xf numFmtId="164" fontId="0" fillId="9" borderId="90" xfId="0" applyNumberFormat="1" applyFont="1" applyFill="1" applyBorder="1" applyAlignment="1" applyProtection="1">
      <alignment horizontal="center" vertical="center"/>
      <protection hidden="1"/>
    </xf>
    <xf numFmtId="164" fontId="0" fillId="9" borderId="93" xfId="0" applyNumberFormat="1" applyFont="1" applyFill="1" applyBorder="1" applyAlignment="1" applyProtection="1">
      <alignment horizontal="center" vertical="center"/>
      <protection hidden="1"/>
    </xf>
    <xf numFmtId="0" fontId="1" fillId="3" borderId="93" xfId="0" applyFont="1" applyFill="1" applyBorder="1" applyAlignment="1" applyProtection="1">
      <alignment horizontal="center" vertical="center" wrapText="1"/>
      <protection hidden="1"/>
    </xf>
    <xf numFmtId="0" fontId="1" fillId="0" borderId="0" xfId="0" applyFont="1" applyAlignment="1" applyProtection="1">
      <alignment horizontal="center" vertical="center"/>
      <protection hidden="1"/>
    </xf>
    <xf numFmtId="0" fontId="1" fillId="2" borderId="59" xfId="0" applyFont="1" applyFill="1" applyBorder="1" applyAlignment="1" applyProtection="1">
      <alignment horizontal="left" wrapText="1"/>
      <protection hidden="1"/>
    </xf>
    <xf numFmtId="0" fontId="0" fillId="2" borderId="56" xfId="0" applyFont="1" applyFill="1" applyBorder="1" applyAlignment="1" applyProtection="1">
      <alignment horizontal="left" wrapText="1"/>
      <protection hidden="1"/>
    </xf>
    <xf numFmtId="0" fontId="2" fillId="9" borderId="70" xfId="0" applyFont="1" applyFill="1" applyBorder="1" applyAlignment="1" applyProtection="1">
      <alignment horizontal="center" vertical="center" wrapText="1"/>
      <protection hidden="1"/>
    </xf>
    <xf numFmtId="0" fontId="2" fillId="9" borderId="94" xfId="0" applyFont="1" applyFill="1" applyBorder="1" applyAlignment="1" applyProtection="1">
      <alignment horizontal="center" vertical="center" wrapText="1"/>
      <protection hidden="1"/>
    </xf>
    <xf numFmtId="0" fontId="0" fillId="9" borderId="95" xfId="0" applyFill="1" applyBorder="1" applyAlignment="1" applyProtection="1">
      <alignment horizontal="center" wrapText="1"/>
      <protection hidden="1"/>
    </xf>
    <xf numFmtId="0" fontId="0" fillId="9" borderId="92" xfId="0" applyFill="1" applyBorder="1" applyAlignment="1" applyProtection="1">
      <alignment horizontal="center" wrapText="1"/>
      <protection hidden="1"/>
    </xf>
    <xf numFmtId="0" fontId="0" fillId="9" borderId="92" xfId="0" applyFill="1" applyBorder="1" applyAlignment="1" applyProtection="1">
      <alignment wrapText="1"/>
      <protection hidden="1"/>
    </xf>
    <xf numFmtId="0" fontId="0" fillId="9" borderId="72" xfId="0" applyFill="1" applyBorder="1" applyAlignment="1" applyProtection="1">
      <alignment/>
      <protection hidden="1"/>
    </xf>
    <xf numFmtId="0" fontId="0" fillId="9" borderId="54" xfId="0" applyFill="1" applyBorder="1" applyAlignment="1" applyProtection="1">
      <alignment/>
      <protection hidden="1"/>
    </xf>
    <xf numFmtId="0" fontId="0" fillId="9" borderId="68" xfId="0" applyFill="1" applyBorder="1" applyAlignment="1" applyProtection="1">
      <alignment/>
      <protection hidden="1"/>
    </xf>
    <xf numFmtId="0" fontId="1" fillId="2" borderId="35" xfId="0" applyFont="1" applyFill="1" applyBorder="1" applyAlignment="1" applyProtection="1">
      <alignment horizontal="left" vertical="center" wrapText="1"/>
      <protection hidden="1"/>
    </xf>
    <xf numFmtId="0" fontId="0" fillId="0" borderId="0" xfId="0" applyAlignment="1" applyProtection="1">
      <alignment/>
      <protection/>
    </xf>
    <xf numFmtId="0" fontId="0" fillId="2" borderId="32" xfId="0" applyNumberFormat="1" applyFont="1" applyFill="1" applyBorder="1" applyAlignment="1" applyProtection="1">
      <alignment horizontal="left" vertical="center" wrapText="1"/>
      <protection hidden="1"/>
    </xf>
    <xf numFmtId="0" fontId="0" fillId="2" borderId="35" xfId="0" applyNumberFormat="1" applyFont="1" applyFill="1" applyBorder="1" applyAlignment="1" applyProtection="1">
      <alignment horizontal="left" vertical="center" wrapText="1"/>
      <protection hidden="1"/>
    </xf>
    <xf numFmtId="164" fontId="0" fillId="9" borderId="89" xfId="0" applyNumberFormat="1" applyFill="1" applyBorder="1" applyAlignment="1" applyProtection="1">
      <alignment horizontal="center" vertical="center"/>
      <protection hidden="1"/>
    </xf>
    <xf numFmtId="0" fontId="0" fillId="9" borderId="49" xfId="0" applyFill="1" applyBorder="1" applyAlignment="1" applyProtection="1">
      <alignment horizontal="center" vertical="center"/>
      <protection hidden="1"/>
    </xf>
    <xf numFmtId="0" fontId="1" fillId="2" borderId="32" xfId="0" applyNumberFormat="1" applyFont="1" applyFill="1" applyBorder="1" applyAlignment="1" applyProtection="1">
      <alignment horizontal="left" vertical="center" wrapText="1"/>
      <protection hidden="1"/>
    </xf>
    <xf numFmtId="0" fontId="0" fillId="2" borderId="35" xfId="0" applyNumberFormat="1" applyFill="1" applyBorder="1" applyAlignment="1" applyProtection="1">
      <alignment horizontal="left" vertical="center"/>
      <protection hidden="1"/>
    </xf>
    <xf numFmtId="0" fontId="1" fillId="3" borderId="69" xfId="0" applyFont="1" applyFill="1" applyBorder="1" applyAlignment="1" applyProtection="1">
      <alignment horizontal="center" vertical="center" wrapText="1"/>
      <protection hidden="1"/>
    </xf>
    <xf numFmtId="0" fontId="1" fillId="3" borderId="87" xfId="0" applyFont="1" applyFill="1" applyBorder="1" applyAlignment="1" applyProtection="1">
      <alignment horizontal="center" vertical="center" wrapText="1"/>
      <protection hidden="1"/>
    </xf>
    <xf numFmtId="0" fontId="1" fillId="10" borderId="90" xfId="0" applyFont="1" applyFill="1" applyBorder="1" applyAlignment="1" applyProtection="1">
      <alignment horizontal="left" vertical="center" wrapText="1"/>
      <protection hidden="1"/>
    </xf>
    <xf numFmtId="0" fontId="1" fillId="10" borderId="91" xfId="0" applyFont="1" applyFill="1" applyBorder="1" applyAlignment="1" applyProtection="1">
      <alignment horizontal="left" vertical="center" wrapText="1"/>
      <protection hidden="1"/>
    </xf>
    <xf numFmtId="0" fontId="0" fillId="2" borderId="25" xfId="0" applyFont="1" applyFill="1" applyBorder="1" applyAlignment="1" applyProtection="1">
      <alignment horizontal="left" vertical="center" wrapText="1"/>
      <protection hidden="1"/>
    </xf>
    <xf numFmtId="0" fontId="1" fillId="2" borderId="43" xfId="0" applyFont="1" applyFill="1" applyBorder="1" applyAlignment="1" applyProtection="1">
      <alignment horizontal="left" vertical="center" wrapText="1"/>
      <protection hidden="1"/>
    </xf>
    <xf numFmtId="0" fontId="1" fillId="2" borderId="58" xfId="0" applyFont="1" applyFill="1" applyBorder="1" applyAlignment="1" applyProtection="1">
      <alignment horizontal="left" vertical="center" wrapText="1"/>
      <protection hidden="1"/>
    </xf>
    <xf numFmtId="0" fontId="0" fillId="0" borderId="66" xfId="0" applyBorder="1" applyAlignment="1" applyProtection="1">
      <alignment horizontal="left" vertical="center" wrapText="1"/>
      <protection hidden="1"/>
    </xf>
    <xf numFmtId="0" fontId="1" fillId="10" borderId="78" xfId="0" applyFont="1" applyFill="1" applyBorder="1" applyAlignment="1" applyProtection="1">
      <alignment horizontal="left" vertical="center" wrapText="1"/>
      <protection hidden="1"/>
    </xf>
    <xf numFmtId="0" fontId="1" fillId="10" borderId="88" xfId="0" applyFont="1" applyFill="1" applyBorder="1" applyAlignment="1" applyProtection="1">
      <alignment horizontal="left" vertical="center" wrapText="1"/>
      <protection hidden="1"/>
    </xf>
    <xf numFmtId="0" fontId="0" fillId="0" borderId="0" xfId="0" applyAlignment="1">
      <alignment/>
    </xf>
    <xf numFmtId="49" fontId="0" fillId="0" borderId="36" xfId="0" applyNumberFormat="1" applyFont="1" applyFill="1" applyBorder="1" applyAlignment="1" applyProtection="1">
      <alignment horizontal="left" readingOrder="1"/>
      <protection hidden="1"/>
    </xf>
    <xf numFmtId="0" fontId="0" fillId="0" borderId="36" xfId="0" applyBorder="1" applyAlignment="1" applyProtection="1">
      <alignment horizontal="left"/>
      <protection hidden="1"/>
    </xf>
    <xf numFmtId="164" fontId="0" fillId="9" borderId="54" xfId="0" applyNumberFormat="1" applyFill="1" applyBorder="1" applyAlignment="1" applyProtection="1">
      <alignment horizontal="center" vertical="center"/>
      <protection hidden="1"/>
    </xf>
    <xf numFmtId="0" fontId="0" fillId="0" borderId="73" xfId="0" applyBorder="1" applyAlignment="1" applyProtection="1">
      <alignment vertical="center"/>
      <protection hidden="1"/>
    </xf>
    <xf numFmtId="0" fontId="1" fillId="2" borderId="33" xfId="0" applyFont="1" applyFill="1" applyBorder="1" applyAlignment="1" applyProtection="1">
      <alignment horizontal="left" vertical="center" wrapText="1"/>
      <protection hidden="1"/>
    </xf>
    <xf numFmtId="0" fontId="1" fillId="2" borderId="64" xfId="0" applyFont="1" applyFill="1" applyBorder="1" applyAlignment="1" applyProtection="1">
      <alignment horizontal="left" vertical="center" wrapText="1"/>
      <protection hidden="1"/>
    </xf>
    <xf numFmtId="0" fontId="1" fillId="2" borderId="96" xfId="0" applyFont="1" applyFill="1" applyBorder="1" applyAlignment="1" applyProtection="1">
      <alignment horizontal="left" vertical="center" wrapText="1"/>
      <protection hidden="1"/>
    </xf>
    <xf numFmtId="0" fontId="1" fillId="0" borderId="93" xfId="0" applyFont="1" applyBorder="1" applyAlignment="1" applyProtection="1">
      <alignment wrapText="1"/>
      <protection hidden="1" locked="0"/>
    </xf>
    <xf numFmtId="0" fontId="0" fillId="0" borderId="93" xfId="0" applyBorder="1" applyAlignment="1" applyProtection="1">
      <alignment wrapText="1"/>
      <protection hidden="1" locked="0"/>
    </xf>
    <xf numFmtId="0" fontId="0" fillId="0" borderId="57" xfId="0" applyBorder="1" applyAlignment="1" applyProtection="1">
      <alignment wrapText="1"/>
      <protection hidden="1" locked="0"/>
    </xf>
    <xf numFmtId="0" fontId="1" fillId="0" borderId="93" xfId="0" applyFont="1" applyBorder="1" applyAlignment="1" applyProtection="1">
      <alignment wrapText="1"/>
      <protection hidden="1"/>
    </xf>
    <xf numFmtId="0" fontId="0" fillId="0" borderId="93" xfId="0" applyBorder="1" applyAlignment="1">
      <alignment wrapText="1"/>
    </xf>
    <xf numFmtId="0" fontId="0" fillId="0" borderId="57" xfId="0" applyBorder="1" applyAlignment="1">
      <alignment wrapText="1"/>
    </xf>
    <xf numFmtId="0" fontId="25" fillId="0" borderId="79" xfId="0" applyFont="1" applyFill="1" applyBorder="1" applyAlignment="1" applyProtection="1">
      <alignment horizontal="center" vertical="center" wrapText="1"/>
      <protection hidden="1"/>
    </xf>
    <xf numFmtId="0" fontId="21" fillId="0" borderId="93" xfId="0" applyFont="1" applyFill="1" applyBorder="1" applyAlignment="1">
      <alignment horizontal="center" vertical="center"/>
    </xf>
    <xf numFmtId="0" fontId="21" fillId="0" borderId="57" xfId="0" applyFont="1" applyFill="1" applyBorder="1" applyAlignment="1">
      <alignment horizontal="center" vertical="center"/>
    </xf>
    <xf numFmtId="0" fontId="0" fillId="0" borderId="35" xfId="0" applyBorder="1" applyAlignment="1">
      <alignment vertical="center" wrapText="1"/>
    </xf>
    <xf numFmtId="0" fontId="0" fillId="0" borderId="79" xfId="0" applyFont="1" applyBorder="1" applyAlignment="1" applyProtection="1">
      <alignment wrapText="1"/>
      <protection hidden="1"/>
    </xf>
    <xf numFmtId="164" fontId="0" fillId="9" borderId="72" xfId="0" applyNumberFormat="1" applyFill="1" applyBorder="1" applyAlignment="1" applyProtection="1">
      <alignment horizontal="center" vertical="center"/>
      <protection hidden="1"/>
    </xf>
    <xf numFmtId="164" fontId="0" fillId="9" borderId="73" xfId="0" applyNumberFormat="1" applyFill="1" applyBorder="1" applyAlignment="1" applyProtection="1">
      <alignment horizontal="center" vertical="center"/>
      <protection hidden="1"/>
    </xf>
    <xf numFmtId="49" fontId="15" fillId="5" borderId="97" xfId="21" applyNumberFormat="1" applyFont="1" applyFill="1" applyBorder="1" applyAlignment="1" applyProtection="1">
      <alignment horizontal="center" vertical="center"/>
      <protection hidden="1"/>
    </xf>
    <xf numFmtId="0" fontId="0" fillId="0" borderId="98" xfId="0" applyBorder="1" applyAlignment="1" applyProtection="1">
      <alignment horizontal="center" vertical="center"/>
      <protection hidden="1"/>
    </xf>
    <xf numFmtId="1" fontId="15" fillId="5" borderId="99" xfId="21" applyNumberFormat="1" applyFont="1" applyFill="1" applyBorder="1" applyAlignment="1" applyProtection="1">
      <alignment horizontal="center" vertical="center"/>
      <protection hidden="1"/>
    </xf>
    <xf numFmtId="0" fontId="0" fillId="0" borderId="100" xfId="0" applyBorder="1" applyAlignment="1" applyProtection="1">
      <alignment horizontal="center" vertical="center"/>
      <protection hidden="1"/>
    </xf>
    <xf numFmtId="168" fontId="16" fillId="5" borderId="101" xfId="21" applyFont="1" applyFill="1" applyBorder="1" applyAlignment="1" applyProtection="1">
      <alignment horizontal="center" vertical="center" wrapText="1"/>
      <protection hidden="1"/>
    </xf>
    <xf numFmtId="168" fontId="16" fillId="5" borderId="102" xfId="21" applyFont="1" applyFill="1" applyBorder="1" applyAlignment="1" applyProtection="1">
      <alignment horizontal="center" vertical="center" wrapText="1"/>
      <protection hidden="1"/>
    </xf>
    <xf numFmtId="1" fontId="15" fillId="5" borderId="97" xfId="21" applyNumberFormat="1" applyFont="1" applyFill="1" applyBorder="1" applyAlignment="1" applyProtection="1">
      <alignment horizontal="center" vertical="center"/>
      <protection hidden="1"/>
    </xf>
    <xf numFmtId="1" fontId="15" fillId="5" borderId="98" xfId="21" applyNumberFormat="1" applyFont="1" applyFill="1" applyBorder="1" applyAlignment="1" applyProtection="1">
      <alignment horizontal="center" vertical="center"/>
      <protection hidden="1"/>
    </xf>
    <xf numFmtId="1" fontId="15" fillId="5" borderId="76" xfId="21" applyNumberFormat="1" applyFont="1" applyFill="1" applyBorder="1" applyAlignment="1" applyProtection="1">
      <alignment horizontal="center" vertical="center"/>
      <protection hidden="1"/>
    </xf>
    <xf numFmtId="168" fontId="16" fillId="5" borderId="101" xfId="21" applyFont="1" applyFill="1" applyBorder="1" applyAlignment="1" applyProtection="1">
      <alignment horizontal="center" vertical="center" wrapText="1"/>
      <protection hidden="1" locked="0"/>
    </xf>
    <xf numFmtId="168" fontId="16" fillId="5" borderId="102" xfId="21" applyFont="1" applyFill="1" applyBorder="1" applyAlignment="1" applyProtection="1">
      <alignment horizontal="center" vertical="center" wrapText="1"/>
      <protection hidden="1" locked="0"/>
    </xf>
    <xf numFmtId="1" fontId="15" fillId="5" borderId="99" xfId="21" applyNumberFormat="1" applyFont="1" applyFill="1" applyBorder="1" applyAlignment="1" applyProtection="1">
      <alignment horizontal="center" vertical="center"/>
      <protection hidden="1" locked="0"/>
    </xf>
    <xf numFmtId="1" fontId="15" fillId="5" borderId="76" xfId="21" applyNumberFormat="1" applyFont="1" applyFill="1" applyBorder="1" applyAlignment="1" applyProtection="1">
      <alignment horizontal="center" vertical="center"/>
      <protection hidden="1" locked="0"/>
    </xf>
    <xf numFmtId="0" fontId="0" fillId="0" borderId="100" xfId="0" applyBorder="1" applyAlignment="1" applyProtection="1">
      <alignment horizontal="center" vertical="center"/>
      <protection hidden="1" locked="0"/>
    </xf>
    <xf numFmtId="168" fontId="15" fillId="5" borderId="13" xfId="21" applyFont="1" applyFill="1" applyBorder="1" applyAlignment="1" applyProtection="1">
      <alignment horizontal="left" vertical="center" wrapText="1"/>
      <protection hidden="1"/>
    </xf>
    <xf numFmtId="168" fontId="15" fillId="5" borderId="14" xfId="21" applyFont="1" applyFill="1" applyBorder="1" applyAlignment="1" applyProtection="1">
      <alignment horizontal="left" vertical="center" wrapText="1"/>
      <protection hidden="1"/>
    </xf>
    <xf numFmtId="168" fontId="15" fillId="5" borderId="15" xfId="21" applyFont="1" applyFill="1" applyBorder="1" applyAlignment="1" applyProtection="1">
      <alignment horizontal="left" vertical="center" wrapText="1"/>
      <protection hidden="1"/>
    </xf>
    <xf numFmtId="168" fontId="15" fillId="5" borderId="11" xfId="21" applyFont="1" applyFill="1" applyBorder="1" applyAlignment="1" applyProtection="1">
      <alignment horizontal="left" vertical="center" wrapText="1"/>
      <protection/>
    </xf>
    <xf numFmtId="168" fontId="15" fillId="5" borderId="0" xfId="21" applyFont="1" applyFill="1" applyBorder="1" applyAlignment="1" applyProtection="1">
      <alignment horizontal="left" vertical="center" wrapText="1"/>
      <protection/>
    </xf>
    <xf numFmtId="168" fontId="15" fillId="5" borderId="12" xfId="21" applyFont="1" applyFill="1" applyBorder="1" applyAlignment="1" applyProtection="1">
      <alignment horizontal="left" vertical="center" wrapText="1"/>
      <protection/>
    </xf>
    <xf numFmtId="49" fontId="15" fillId="5" borderId="97" xfId="21" applyNumberFormat="1" applyFont="1" applyFill="1" applyBorder="1" applyAlignment="1" applyProtection="1">
      <alignment horizontal="center" vertical="center"/>
      <protection hidden="1" locked="0"/>
    </xf>
    <xf numFmtId="0" fontId="0" fillId="0" borderId="98" xfId="0" applyBorder="1" applyAlignment="1" applyProtection="1">
      <alignment horizontal="center" vertical="center"/>
      <protection hidden="1" locked="0"/>
    </xf>
    <xf numFmtId="168" fontId="12" fillId="5" borderId="0" xfId="21" applyFont="1" applyFill="1" applyBorder="1" applyAlignment="1" applyProtection="1">
      <alignment horizontal="center"/>
      <protection/>
    </xf>
    <xf numFmtId="168" fontId="15" fillId="5" borderId="13" xfId="21" applyFont="1" applyFill="1" applyBorder="1" applyAlignment="1" applyProtection="1">
      <alignment horizontal="left" vertical="center" wrapText="1"/>
      <protection hidden="1" locked="0"/>
    </xf>
    <xf numFmtId="168" fontId="15" fillId="5" borderId="14" xfId="21" applyFont="1" applyFill="1" applyBorder="1" applyAlignment="1" applyProtection="1">
      <alignment horizontal="left" vertical="center" wrapText="1"/>
      <protection hidden="1" locked="0"/>
    </xf>
    <xf numFmtId="168" fontId="15" fillId="5" borderId="15" xfId="21" applyFont="1" applyFill="1" applyBorder="1" applyAlignment="1" applyProtection="1">
      <alignment horizontal="left" vertical="center" wrapText="1"/>
      <protection hidden="1" locked="0"/>
    </xf>
    <xf numFmtId="1" fontId="15" fillId="5" borderId="97" xfId="21" applyNumberFormat="1" applyFont="1" applyFill="1" applyBorder="1" applyAlignment="1" applyProtection="1">
      <alignment horizontal="center" vertical="center"/>
      <protection hidden="1" locked="0"/>
    </xf>
    <xf numFmtId="1" fontId="15" fillId="5" borderId="98" xfId="21" applyNumberFormat="1" applyFont="1" applyFill="1" applyBorder="1" applyAlignment="1" applyProtection="1">
      <alignment horizontal="center" vertical="center"/>
      <protection hidden="1" locked="0"/>
    </xf>
    <xf numFmtId="168" fontId="13" fillId="5" borderId="0" xfId="21" applyFont="1" applyFill="1" applyAlignment="1" applyProtection="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ok-sched-99"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133350</xdr:colOff>
      <xdr:row>58</xdr:row>
      <xdr:rowOff>95250</xdr:rowOff>
    </xdr:from>
    <xdr:to>
      <xdr:col>6</xdr:col>
      <xdr:colOff>19050</xdr:colOff>
      <xdr:row>58</xdr:row>
      <xdr:rowOff>390525</xdr:rowOff>
    </xdr:to>
    <xdr:pic macro="[0]!PrintGLSheets">
      <xdr:nvPicPr>
        <xdr:cNvPr id="1" name="Picture 6"/>
        <xdr:cNvPicPr preferRelativeResize="1">
          <a:picLocks noChangeAspect="0"/>
        </xdr:cNvPicPr>
      </xdr:nvPicPr>
      <xdr:blipFill>
        <a:blip r:embed="rId1"/>
        <a:stretch>
          <a:fillRect/>
        </a:stretch>
      </xdr:blipFill>
      <xdr:spPr>
        <a:xfrm>
          <a:off x="6000750" y="14306550"/>
          <a:ext cx="600075" cy="295275"/>
        </a:xfrm>
        <a:prstGeom prst="rect">
          <a:avLst/>
        </a:prstGeom>
        <a:noFill/>
        <a:ln w="9525" cmpd="sng">
          <a:solidFill>
            <a:srgbClr val="000000"/>
          </a:solidFill>
          <a:headEnd type="none"/>
          <a:tailEnd type="none"/>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133350</xdr:colOff>
      <xdr:row>3</xdr:row>
      <xdr:rowOff>19050</xdr:rowOff>
    </xdr:from>
    <xdr:to>
      <xdr:col>5</xdr:col>
      <xdr:colOff>733425</xdr:colOff>
      <xdr:row>3</xdr:row>
      <xdr:rowOff>314325</xdr:rowOff>
    </xdr:to>
    <xdr:pic macro="[0]!PrintGLSheets">
      <xdr:nvPicPr>
        <xdr:cNvPr id="1" name="Picture 6"/>
        <xdr:cNvPicPr preferRelativeResize="1">
          <a:picLocks noChangeAspect="0"/>
        </xdr:cNvPicPr>
      </xdr:nvPicPr>
      <xdr:blipFill>
        <a:blip r:embed="rId1"/>
        <a:stretch>
          <a:fillRect/>
        </a:stretch>
      </xdr:blipFill>
      <xdr:spPr>
        <a:xfrm>
          <a:off x="5638800" y="733425"/>
          <a:ext cx="600075" cy="295275"/>
        </a:xfrm>
        <a:prstGeom prst="rect">
          <a:avLst/>
        </a:prstGeom>
        <a:noFill/>
        <a:ln w="9525" cmpd="sng">
          <a:solidFill>
            <a:srgbClr val="000000"/>
          </a:solidFill>
          <a:headEnd type="none"/>
          <a:tailEnd type="none"/>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55455\Local%20Settings\Temporary%20Internet%20Files\OLK178\Copy%20of%20Guidelines%2020070420%20v12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 Form"/>
      <sheetName val="CS Schedule"/>
      <sheetName val="ChildCare Schedule"/>
      <sheetName val="Blank Form"/>
      <sheetName val="Instructions"/>
      <sheetName val="Storage"/>
      <sheetName val="modGuideli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7"/>
  <dimension ref="A1:A1"/>
  <sheetViews>
    <sheetView workbookViewId="0" topLeftCell="A1">
      <selection activeCell="A1" sqref="A1"/>
    </sheetView>
  </sheetViews>
  <sheetFormatPr defaultColWidth="9.140625" defaultRowHeight="12.75"/>
  <sheetData>
    <row r="1" ht="12.75">
      <c r="A1" t="s">
        <v>7</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1" transitionEvaluation="1" transitionEntry="1"/>
  <dimension ref="A1:AT13"/>
  <sheetViews>
    <sheetView showGridLines="0" workbookViewId="0" topLeftCell="A5">
      <selection activeCell="A5" sqref="A5:I5"/>
    </sheetView>
  </sheetViews>
  <sheetFormatPr defaultColWidth="11.00390625" defaultRowHeight="12.75"/>
  <cols>
    <col min="1" max="1" width="15.140625" style="48" customWidth="1"/>
    <col min="2" max="2" width="10.7109375" style="48" customWidth="1"/>
    <col min="3" max="3" width="10.28125" style="48" customWidth="1"/>
    <col min="4" max="4" width="10.7109375" style="48" customWidth="1"/>
    <col min="5" max="6" width="10.28125" style="48" customWidth="1"/>
    <col min="7" max="7" width="10.00390625" style="48" customWidth="1"/>
    <col min="8" max="8" width="10.140625" style="48" customWidth="1"/>
    <col min="9" max="10" width="12.140625" style="48" customWidth="1"/>
    <col min="11" max="12" width="11.00390625" style="48" customWidth="1"/>
    <col min="13" max="13" width="9.8515625" style="48" customWidth="1"/>
    <col min="14" max="14" width="3.00390625" style="48" customWidth="1"/>
    <col min="15" max="16384" width="11.00390625" style="48" customWidth="1"/>
  </cols>
  <sheetData>
    <row r="1" spans="2:28" ht="21.75" customHeight="1" hidden="1" thickBot="1">
      <c r="B1" s="45"/>
      <c r="C1" s="45"/>
      <c r="D1" s="46"/>
      <c r="E1" s="45"/>
      <c r="F1" s="45"/>
      <c r="G1" s="45"/>
      <c r="H1" s="45"/>
      <c r="I1" s="211"/>
      <c r="AB1" s="49"/>
    </row>
    <row r="2" spans="1:28" ht="19.5" hidden="1">
      <c r="A2" s="50"/>
      <c r="B2" s="51"/>
      <c r="C2" s="51"/>
      <c r="D2" s="517" t="s">
        <v>7</v>
      </c>
      <c r="E2" s="517"/>
      <c r="F2" s="517"/>
      <c r="G2" s="51"/>
      <c r="H2" s="51"/>
      <c r="I2" s="53"/>
      <c r="J2" s="54"/>
      <c r="AB2" s="49"/>
    </row>
    <row r="3" spans="1:28" ht="17.25" customHeight="1" hidden="1">
      <c r="A3" s="56"/>
      <c r="B3" s="57"/>
      <c r="C3" s="57"/>
      <c r="D3" s="57"/>
      <c r="E3" s="57"/>
      <c r="F3" s="57"/>
      <c r="G3" s="57"/>
      <c r="H3" s="57"/>
      <c r="I3" s="212"/>
      <c r="AB3" s="49"/>
    </row>
    <row r="4" spans="1:24" ht="15" customHeight="1" hidden="1">
      <c r="A4" s="43"/>
      <c r="B4" s="523" t="s">
        <v>298</v>
      </c>
      <c r="C4" s="474"/>
      <c r="D4" s="474"/>
      <c r="E4" s="474"/>
      <c r="F4" s="474"/>
      <c r="G4" s="474"/>
      <c r="H4" s="474"/>
      <c r="I4" s="62"/>
      <c r="N4" s="63"/>
      <c r="X4" s="49"/>
    </row>
    <row r="5" spans="1:24" ht="86.25" customHeight="1" thickBot="1">
      <c r="A5" s="518" t="s">
        <v>299</v>
      </c>
      <c r="B5" s="519"/>
      <c r="C5" s="519"/>
      <c r="D5" s="519"/>
      <c r="E5" s="519"/>
      <c r="F5" s="519"/>
      <c r="G5" s="519"/>
      <c r="H5" s="519"/>
      <c r="I5" s="520"/>
      <c r="J5" s="512"/>
      <c r="K5" s="513"/>
      <c r="L5" s="513"/>
      <c r="M5" s="513"/>
      <c r="N5" s="513"/>
      <c r="O5" s="513"/>
      <c r="P5" s="513"/>
      <c r="Q5" s="513"/>
      <c r="R5" s="513"/>
      <c r="S5" s="513"/>
      <c r="T5" s="514"/>
      <c r="X5" s="49"/>
    </row>
    <row r="6" spans="1:31" ht="12">
      <c r="A6" s="504" t="s">
        <v>88</v>
      </c>
      <c r="B6" s="521">
        <v>1</v>
      </c>
      <c r="C6" s="506">
        <v>2</v>
      </c>
      <c r="D6" s="506">
        <v>3</v>
      </c>
      <c r="E6" s="506">
        <v>4</v>
      </c>
      <c r="F6" s="506">
        <v>5</v>
      </c>
      <c r="G6" s="506">
        <v>6</v>
      </c>
      <c r="H6" s="506">
        <v>7</v>
      </c>
      <c r="I6" s="515" t="s">
        <v>89</v>
      </c>
      <c r="N6" s="63"/>
      <c r="X6" s="49"/>
      <c r="Z6" s="49"/>
      <c r="AA6" s="49"/>
      <c r="AB6" s="49"/>
      <c r="AC6" s="49"/>
      <c r="AD6" s="49"/>
      <c r="AE6" s="49"/>
    </row>
    <row r="7" spans="1:46" ht="13.5" customHeight="1" thickBot="1">
      <c r="A7" s="505"/>
      <c r="B7" s="522"/>
      <c r="C7" s="507"/>
      <c r="D7" s="508"/>
      <c r="E7" s="508"/>
      <c r="F7" s="508"/>
      <c r="G7" s="508"/>
      <c r="H7" s="508"/>
      <c r="I7" s="516"/>
      <c r="J7"/>
      <c r="K7"/>
      <c r="L7"/>
      <c r="M7"/>
      <c r="N7"/>
      <c r="O7"/>
      <c r="P7"/>
      <c r="Q7"/>
      <c r="R7"/>
      <c r="S7"/>
      <c r="T7"/>
      <c r="U7"/>
      <c r="V7"/>
      <c r="W7"/>
      <c r="X7"/>
      <c r="Y7"/>
      <c r="Z7"/>
      <c r="AA7"/>
      <c r="AB7"/>
      <c r="AC7"/>
      <c r="AD7"/>
      <c r="AE7"/>
      <c r="AF7"/>
      <c r="AG7"/>
      <c r="AH7"/>
      <c r="AI7"/>
      <c r="AJ7"/>
      <c r="AK7"/>
      <c r="AL7"/>
      <c r="AM7"/>
      <c r="AN7"/>
      <c r="AO7"/>
      <c r="AP7"/>
      <c r="AQ7"/>
      <c r="AR7"/>
      <c r="AS7"/>
      <c r="AT7"/>
    </row>
    <row r="8" spans="1:46" ht="46.5" customHeight="1" thickBot="1" thickTop="1">
      <c r="A8" s="368" t="s">
        <v>91</v>
      </c>
      <c r="B8" s="369">
        <v>2823</v>
      </c>
      <c r="C8" s="369">
        <v>3400</v>
      </c>
      <c r="D8" s="369">
        <v>3976</v>
      </c>
      <c r="E8" s="369">
        <v>4553</v>
      </c>
      <c r="F8" s="369">
        <v>5130</v>
      </c>
      <c r="G8" s="369">
        <v>5706</v>
      </c>
      <c r="H8" s="369">
        <v>6283</v>
      </c>
      <c r="I8" s="370" t="s">
        <v>146</v>
      </c>
      <c r="J8"/>
      <c r="AT8" s="327"/>
    </row>
    <row r="9" ht="13.5" customHeight="1">
      <c r="A9" s="359"/>
    </row>
    <row r="10" spans="1:9" ht="13.5" hidden="1" thickBot="1">
      <c r="A10" s="509" t="s">
        <v>299</v>
      </c>
      <c r="B10" s="510"/>
      <c r="C10" s="510"/>
      <c r="D10" s="510"/>
      <c r="E10" s="510"/>
      <c r="F10" s="510"/>
      <c r="G10" s="510"/>
      <c r="H10" s="510"/>
      <c r="I10" s="511"/>
    </row>
    <row r="11" spans="1:9" ht="12.75" hidden="1">
      <c r="A11" s="499" t="s">
        <v>88</v>
      </c>
      <c r="B11" s="501">
        <v>1</v>
      </c>
      <c r="C11" s="497">
        <v>2</v>
      </c>
      <c r="D11" s="497">
        <v>3</v>
      </c>
      <c r="E11" s="497">
        <v>4</v>
      </c>
      <c r="F11" s="497">
        <v>5</v>
      </c>
      <c r="G11" s="497">
        <v>6</v>
      </c>
      <c r="H11" s="497">
        <v>7</v>
      </c>
      <c r="I11" s="495" t="s">
        <v>89</v>
      </c>
    </row>
    <row r="12" spans="1:9" ht="13.5" hidden="1" thickBot="1">
      <c r="A12" s="500"/>
      <c r="B12" s="502"/>
      <c r="C12" s="503"/>
      <c r="D12" s="498"/>
      <c r="E12" s="498"/>
      <c r="F12" s="498"/>
      <c r="G12" s="498"/>
      <c r="H12" s="498"/>
      <c r="I12" s="496"/>
    </row>
    <row r="13" spans="1:9" ht="44.25" hidden="1" thickBot="1" thickTop="1">
      <c r="A13" s="329" t="s">
        <v>91</v>
      </c>
      <c r="B13" s="330">
        <v>2823</v>
      </c>
      <c r="C13" s="330">
        <v>3400</v>
      </c>
      <c r="D13" s="330">
        <v>3976</v>
      </c>
      <c r="E13" s="330">
        <v>4553</v>
      </c>
      <c r="F13" s="330">
        <v>5130</v>
      </c>
      <c r="G13" s="330">
        <v>5706</v>
      </c>
      <c r="H13" s="330">
        <v>6283</v>
      </c>
      <c r="I13" s="331" t="s">
        <v>146</v>
      </c>
    </row>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1.25" customHeight="1"/>
    <row r="254" ht="12.75"/>
  </sheetData>
  <sheetProtection sheet="1" objects="1" scenarios="1"/>
  <mergeCells count="23">
    <mergeCell ref="J5:T5"/>
    <mergeCell ref="H6:H7"/>
    <mergeCell ref="I6:I7"/>
    <mergeCell ref="D2:F2"/>
    <mergeCell ref="E6:E7"/>
    <mergeCell ref="F6:F7"/>
    <mergeCell ref="G6:G7"/>
    <mergeCell ref="A5:I5"/>
    <mergeCell ref="B6:B7"/>
    <mergeCell ref="B4:H4"/>
    <mergeCell ref="A6:A7"/>
    <mergeCell ref="C6:C7"/>
    <mergeCell ref="D6:D7"/>
    <mergeCell ref="A10:I10"/>
    <mergeCell ref="A11:A12"/>
    <mergeCell ref="B11:B12"/>
    <mergeCell ref="C11:C12"/>
    <mergeCell ref="D11:D12"/>
    <mergeCell ref="I11:I12"/>
    <mergeCell ref="E11:E12"/>
    <mergeCell ref="F11:F12"/>
    <mergeCell ref="G11:G12"/>
    <mergeCell ref="H11:H12"/>
  </mergeCells>
  <dataValidations count="20">
    <dataValidation allowBlank="1" showInputMessage="1" showErrorMessage="1" promptTitle="Cash Medical Income Guideline" prompt="This table is used in the calculation of cash medical when there is health care government assistance and the applicant is not the obligor. " sqref="A10:I10"/>
    <dataValidation type="custom" allowBlank="1" showInputMessage="1" showErrorMessage="1" promptTitle="Cash Medical Income Guideline" prompt="This table is used in the calculation of cash medical when there is health care government assistance and the applicant is not the obligor.  Use Ctrl Page Up to go back to previous sheets within this document." error="Press Esc then Tab" sqref="A5:I5">
      <formula1>"a10"</formula1>
    </dataValidation>
    <dataValidation type="custom" allowBlank="1" showInputMessage="1" showErrorMessage="1" error="Press Esc then Tab" sqref="A6:A7">
      <formula1>"a11"</formula1>
    </dataValidation>
    <dataValidation type="custom" allowBlank="1" showInputMessage="1" showErrorMessage="1" error="Press Esc then Tab" sqref="A13 A8">
      <formula1>"a13"</formula1>
    </dataValidation>
    <dataValidation type="custom" allowBlank="1" showInputMessage="1" showErrorMessage="1" error="Press Esc then Tab" sqref="B6:B7">
      <formula1>"b11"</formula1>
    </dataValidation>
    <dataValidation type="custom" allowBlank="1" showInputMessage="1" showErrorMessage="1" error="Press Esc then Tab" sqref="C6:C7">
      <formula1>"c11"</formula1>
    </dataValidation>
    <dataValidation type="custom" allowBlank="1" showInputMessage="1" showErrorMessage="1" error="Press Esc then Tab" sqref="D6:D7">
      <formula1>"d11"</formula1>
    </dataValidation>
    <dataValidation type="custom" allowBlank="1" showInputMessage="1" showErrorMessage="1" error="Press Esc then Tab" sqref="E6:E7">
      <formula1>"e11"</formula1>
    </dataValidation>
    <dataValidation type="custom" allowBlank="1" showInputMessage="1" showErrorMessage="1" error="Press Esc then Tab" sqref="F6:F7">
      <formula1>"f11"</formula1>
    </dataValidation>
    <dataValidation type="custom" allowBlank="1" showInputMessage="1" showErrorMessage="1" error="Press Esc then Tab" sqref="G6:G7">
      <formula1>"g11"</formula1>
    </dataValidation>
    <dataValidation type="custom" allowBlank="1" showInputMessage="1" showErrorMessage="1" error="Press Esc then Tab" sqref="H6:H7">
      <formula1>"h11"</formula1>
    </dataValidation>
    <dataValidation type="custom" allowBlank="1" showInputMessage="1" showErrorMessage="1" error="Press Esc then Tab" sqref="I6:I7">
      <formula1>"i11"</formula1>
    </dataValidation>
    <dataValidation type="custom" allowBlank="1" showInputMessage="1" showErrorMessage="1" error="Press Esc then Tab" sqref="B8">
      <formula1>"b13"</formula1>
    </dataValidation>
    <dataValidation type="custom" allowBlank="1" showInputMessage="1" showErrorMessage="1" error="Press Esc then Tab" sqref="C8">
      <formula1>"c13"</formula1>
    </dataValidation>
    <dataValidation type="custom" allowBlank="1" showInputMessage="1" showErrorMessage="1" error="Press Esc then Tab" sqref="D8">
      <formula1>"d13"</formula1>
    </dataValidation>
    <dataValidation type="custom" allowBlank="1" showInputMessage="1" showErrorMessage="1" error="Press Esc then Tab" sqref="E8">
      <formula1>"e13"</formula1>
    </dataValidation>
    <dataValidation type="custom" allowBlank="1" showInputMessage="1" showErrorMessage="1" error="Press Esc then Tab" sqref="F8">
      <formula1>"f13"</formula1>
    </dataValidation>
    <dataValidation type="custom" allowBlank="1" showInputMessage="1" showErrorMessage="1" error="Press Esc then Tab" sqref="G8">
      <formula1>"g13"</formula1>
    </dataValidation>
    <dataValidation type="custom" allowBlank="1" showInputMessage="1" showErrorMessage="1" error="Press Esc then Tab" sqref="H8">
      <formula1>"h13"</formula1>
    </dataValidation>
    <dataValidation type="custom" allowBlank="1" showInputMessage="1" showErrorMessage="1" error="Press Esc then Tab" sqref="I8">
      <formula1>"i13"</formula1>
    </dataValidation>
  </dataValidations>
  <printOptions/>
  <pageMargins left="0.76" right="0.17" top="1.59" bottom="1.22" header="0.5" footer="0.5"/>
  <pageSetup horizontalDpi="600" verticalDpi="600" orientation="portrait" r:id="rId1"/>
  <headerFooter alignWithMargins="0">
    <oddFooter>&amp;CPage &amp;P of &amp;N</oddFooter>
  </headerFooter>
</worksheet>
</file>

<file path=xl/worksheets/sheet11.xml><?xml version="1.0" encoding="utf-8"?>
<worksheet xmlns="http://schemas.openxmlformats.org/spreadsheetml/2006/main" xmlns:r="http://schemas.openxmlformats.org/officeDocument/2006/relationships">
  <sheetPr codeName="Sheet8"/>
  <dimension ref="A1:B5"/>
  <sheetViews>
    <sheetView workbookViewId="0" topLeftCell="A1">
      <selection activeCell="A1" sqref="A1"/>
    </sheetView>
  </sheetViews>
  <sheetFormatPr defaultColWidth="9.140625" defaultRowHeight="12.75"/>
  <sheetData>
    <row r="1" ht="12.75">
      <c r="A1" t="s">
        <v>90</v>
      </c>
    </row>
    <row r="2" ht="12.75">
      <c r="A2" s="153">
        <f>'Child Support Computation'!C15</f>
      </c>
    </row>
    <row r="3" spans="1:2" ht="12.75">
      <c r="A3">
        <f>'Child Support Computation'!D32</f>
        <v>0</v>
      </c>
      <c r="B3">
        <f>'Child Support Computation'!E32</f>
        <v>365</v>
      </c>
    </row>
    <row r="4" spans="1:2" ht="12.75">
      <c r="A4">
        <f>IF(SUM(A3)&lt;0,0,SUM(A3))</f>
        <v>0</v>
      </c>
      <c r="B4">
        <f>IF(SUM(B3)&lt;0,0,SUM(B3))</f>
        <v>365</v>
      </c>
    </row>
    <row r="5" ht="12.75">
      <c r="A5">
        <f>IF(A2="father",A4,IF(A2="mother",B4,0))</f>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N63"/>
  <sheetViews>
    <sheetView tabSelected="1" workbookViewId="0" topLeftCell="A1">
      <pane ySplit="2" topLeftCell="BM3" activePane="bottomLeft" state="frozen"/>
      <selection pane="topLeft" activeCell="A1" sqref="A1"/>
      <selection pane="bottomLeft" activeCell="A1" sqref="A1:E1"/>
    </sheetView>
  </sheetViews>
  <sheetFormatPr defaultColWidth="9.140625" defaultRowHeight="12.75"/>
  <cols>
    <col min="1" max="1" width="42.7109375" style="5" customWidth="1"/>
    <col min="2" max="2" width="11.421875" style="5" customWidth="1"/>
    <col min="3" max="5" width="11.28125" style="5" customWidth="1"/>
    <col min="6" max="6" width="10.7109375" style="2" customWidth="1"/>
    <col min="7" max="7" width="11.57421875" style="2" customWidth="1"/>
    <col min="8" max="8" width="11.140625" style="2" hidden="1" customWidth="1"/>
    <col min="9" max="9" width="11.8515625" style="2" hidden="1" customWidth="1"/>
    <col min="10" max="13" width="9.140625" style="2" hidden="1" customWidth="1"/>
    <col min="14" max="14" width="8.8515625" style="0" customWidth="1"/>
  </cols>
  <sheetData>
    <row r="1" spans="1:5" ht="38.25" customHeight="1" thickBot="1">
      <c r="A1" s="393" t="s">
        <v>321</v>
      </c>
      <c r="B1" s="394"/>
      <c r="C1" s="394"/>
      <c r="D1" s="394"/>
      <c r="E1" s="394"/>
    </row>
    <row r="2" spans="1:6" ht="36" customHeight="1" thickBot="1" thickTop="1">
      <c r="A2" s="338" t="s">
        <v>161</v>
      </c>
      <c r="B2" s="235" t="s">
        <v>162</v>
      </c>
      <c r="C2" s="236" t="s">
        <v>5</v>
      </c>
      <c r="D2" s="236" t="s">
        <v>6</v>
      </c>
      <c r="E2" s="237" t="s">
        <v>74</v>
      </c>
      <c r="F2" s="11"/>
    </row>
    <row r="3" spans="1:13" ht="36" customHeight="1" thickBot="1" thickTop="1">
      <c r="A3" s="341" t="s">
        <v>311</v>
      </c>
      <c r="B3" s="274"/>
      <c r="C3" s="229"/>
      <c r="D3" s="229"/>
      <c r="E3" s="230"/>
      <c r="F3" s="147"/>
      <c r="G3" s="2" t="s">
        <v>7</v>
      </c>
      <c r="I3" s="393" t="s">
        <v>321</v>
      </c>
      <c r="J3" s="394"/>
      <c r="K3" s="394"/>
      <c r="L3" s="394"/>
      <c r="M3" s="394"/>
    </row>
    <row r="4" spans="1:7" ht="27" customHeight="1" thickTop="1">
      <c r="A4" s="341" t="s">
        <v>148</v>
      </c>
      <c r="B4" s="273">
        <v>0</v>
      </c>
      <c r="C4" s="229"/>
      <c r="D4" s="229"/>
      <c r="E4" s="230"/>
      <c r="G4" s="2" t="s">
        <v>7</v>
      </c>
    </row>
    <row r="5" spans="1:8" ht="44.25" customHeight="1">
      <c r="A5" s="342" t="s">
        <v>160</v>
      </c>
      <c r="B5" s="238"/>
      <c r="C5" s="20">
        <v>0</v>
      </c>
      <c r="D5" s="20">
        <v>0</v>
      </c>
      <c r="E5" s="231"/>
      <c r="F5" s="147"/>
      <c r="G5" s="2" t="s">
        <v>7</v>
      </c>
      <c r="H5" s="2" t="s">
        <v>7</v>
      </c>
    </row>
    <row r="6" spans="1:8" ht="41.25" customHeight="1">
      <c r="A6" s="343" t="s">
        <v>149</v>
      </c>
      <c r="B6" s="239"/>
      <c r="C6" s="20">
        <v>0</v>
      </c>
      <c r="D6" s="20">
        <v>0</v>
      </c>
      <c r="E6" s="231"/>
      <c r="F6" s="148" t="s">
        <v>7</v>
      </c>
      <c r="G6" s="2" t="s">
        <v>7</v>
      </c>
      <c r="H6" s="2" t="s">
        <v>7</v>
      </c>
    </row>
    <row r="7" spans="1:7" ht="37.5" customHeight="1" hidden="1">
      <c r="A7" s="343" t="s">
        <v>166</v>
      </c>
      <c r="B7" s="240"/>
      <c r="C7" s="21">
        <f>'Child Support Computation'!D20</f>
        <v>0</v>
      </c>
      <c r="D7" s="21">
        <f>'Child Support Computation'!E20</f>
        <v>0</v>
      </c>
      <c r="E7" s="231"/>
      <c r="F7" s="147"/>
      <c r="G7" s="2">
        <v>4</v>
      </c>
    </row>
    <row r="8" spans="1:8" ht="39.75" customHeight="1" hidden="1">
      <c r="A8" s="344" t="s">
        <v>302</v>
      </c>
      <c r="B8" s="240"/>
      <c r="C8" s="21">
        <f>'Child Support Computation'!D21</f>
        <v>0</v>
      </c>
      <c r="D8" s="21">
        <f>'Child Support Computation'!E21</f>
        <v>0</v>
      </c>
      <c r="E8" s="231"/>
      <c r="F8" s="147" t="s">
        <v>7</v>
      </c>
      <c r="G8" s="307">
        <v>5</v>
      </c>
      <c r="H8" s="225"/>
    </row>
    <row r="9" spans="1:8" ht="54" customHeight="1">
      <c r="A9" s="343" t="s">
        <v>185</v>
      </c>
      <c r="B9" s="239"/>
      <c r="C9" s="20">
        <v>0</v>
      </c>
      <c r="D9" s="20">
        <v>0</v>
      </c>
      <c r="E9" s="231"/>
      <c r="F9" s="147"/>
      <c r="G9" s="2" t="s">
        <v>7</v>
      </c>
      <c r="H9"/>
    </row>
    <row r="10" spans="1:8" ht="39" customHeight="1">
      <c r="A10" s="343" t="s">
        <v>150</v>
      </c>
      <c r="B10" s="241"/>
      <c r="C10" s="20">
        <v>0</v>
      </c>
      <c r="D10" s="20">
        <v>0</v>
      </c>
      <c r="E10" s="231"/>
      <c r="F10" s="147"/>
      <c r="G10" s="2" t="s">
        <v>7</v>
      </c>
      <c r="H10"/>
    </row>
    <row r="11" spans="1:9" ht="39" customHeight="1">
      <c r="A11" s="343" t="s">
        <v>151</v>
      </c>
      <c r="B11" s="241"/>
      <c r="C11" s="20">
        <v>0</v>
      </c>
      <c r="D11" s="20">
        <v>0</v>
      </c>
      <c r="E11" s="231"/>
      <c r="F11" s="147"/>
      <c r="G11" s="2" t="s">
        <v>7</v>
      </c>
      <c r="H11" t="s">
        <v>7</v>
      </c>
      <c r="I11" s="2" t="s">
        <v>7</v>
      </c>
    </row>
    <row r="12" spans="1:9" ht="39" customHeight="1">
      <c r="A12" s="343" t="s">
        <v>152</v>
      </c>
      <c r="B12" s="241"/>
      <c r="C12" s="20">
        <v>0</v>
      </c>
      <c r="D12" s="20">
        <v>0</v>
      </c>
      <c r="E12" s="231"/>
      <c r="F12" s="147"/>
      <c r="G12" s="2" t="s">
        <v>7</v>
      </c>
      <c r="H12" t="s">
        <v>5</v>
      </c>
      <c r="I12" s="363"/>
    </row>
    <row r="13" spans="1:11" ht="44.25" customHeight="1">
      <c r="A13" s="343" t="s">
        <v>153</v>
      </c>
      <c r="B13" s="240"/>
      <c r="C13" s="42">
        <v>0</v>
      </c>
      <c r="D13" s="42">
        <v>0</v>
      </c>
      <c r="E13" s="231"/>
      <c r="F13" s="148" t="s">
        <v>7</v>
      </c>
      <c r="G13" s="2" t="s">
        <v>7</v>
      </c>
      <c r="H13" t="s">
        <v>6</v>
      </c>
      <c r="J13" s="135" t="s">
        <v>7</v>
      </c>
      <c r="K13" s="135" t="s">
        <v>7</v>
      </c>
    </row>
    <row r="14" spans="1:11" ht="47.25" customHeight="1" hidden="1">
      <c r="A14" s="343" t="s">
        <v>154</v>
      </c>
      <c r="B14" s="240"/>
      <c r="C14" s="21">
        <f>'Child Support Computation'!D27</f>
        <v>0</v>
      </c>
      <c r="D14" s="21">
        <f>'Child Support Computation'!E27</f>
        <v>0</v>
      </c>
      <c r="E14" s="231"/>
      <c r="F14" s="148" t="s">
        <v>7</v>
      </c>
      <c r="G14" s="2">
        <v>11</v>
      </c>
      <c r="J14" s="137"/>
      <c r="K14" s="137"/>
    </row>
    <row r="15" spans="1:8" ht="41.25" customHeight="1" hidden="1">
      <c r="A15" s="344" t="s">
        <v>303</v>
      </c>
      <c r="B15" s="242"/>
      <c r="C15" s="21">
        <f>'Child Support Computation'!D28</f>
        <v>0</v>
      </c>
      <c r="D15" s="21">
        <f>'Child Support Computation'!E28</f>
        <v>0</v>
      </c>
      <c r="E15" s="228" t="s">
        <v>7</v>
      </c>
      <c r="F15"/>
      <c r="G15" s="2">
        <v>12</v>
      </c>
      <c r="H15" s="2" t="s">
        <v>7</v>
      </c>
    </row>
    <row r="16" spans="1:7" ht="39.75" customHeight="1" hidden="1">
      <c r="A16" s="343" t="s">
        <v>159</v>
      </c>
      <c r="B16" s="242"/>
      <c r="C16" s="22">
        <f>'Child Support Computation'!D29</f>
        <v>0</v>
      </c>
      <c r="D16" s="22">
        <f>'Child Support Computation'!E29</f>
        <v>0</v>
      </c>
      <c r="E16" s="246" t="s">
        <v>7</v>
      </c>
      <c r="F16"/>
      <c r="G16" s="2" t="s">
        <v>7</v>
      </c>
    </row>
    <row r="17" spans="1:7" ht="44.25" customHeight="1" hidden="1">
      <c r="A17" s="345" t="s">
        <v>304</v>
      </c>
      <c r="B17" s="243"/>
      <c r="C17" s="21">
        <f>'Child Support Computation'!D30</f>
        <v>0</v>
      </c>
      <c r="D17" s="21">
        <f>'Child Support Computation'!E30</f>
        <v>0</v>
      </c>
      <c r="E17" s="247" t="s">
        <v>7</v>
      </c>
      <c r="F17"/>
      <c r="G17" s="2" t="s">
        <v>7</v>
      </c>
    </row>
    <row r="18" spans="1:7" ht="19.5" customHeight="1" hidden="1" thickBot="1" thickTop="1">
      <c r="A18" s="346" t="s">
        <v>21</v>
      </c>
      <c r="B18" s="244"/>
      <c r="C18" s="271" t="s">
        <v>5</v>
      </c>
      <c r="D18" s="271" t="s">
        <v>6</v>
      </c>
      <c r="E18" s="233" t="s">
        <v>10</v>
      </c>
      <c r="F18"/>
      <c r="G18" s="139"/>
    </row>
    <row r="19" spans="1:10" ht="37.5" customHeight="1">
      <c r="A19" s="347" t="s">
        <v>325</v>
      </c>
      <c r="B19" s="245">
        <f>IF(SUM(C19:D19)&gt;0,IF(SUM(C19:D19)=365,"","Combined must = 365 &gt;&gt;"),"")</f>
      </c>
      <c r="C19" s="248">
        <v>0</v>
      </c>
      <c r="D19" s="248">
        <v>365</v>
      </c>
      <c r="E19" s="234" t="s">
        <v>7</v>
      </c>
      <c r="F19"/>
      <c r="G19" s="174" t="s">
        <v>7</v>
      </c>
      <c r="H19" s="174" t="s">
        <v>187</v>
      </c>
      <c r="I19" s="174"/>
      <c r="J19" s="174"/>
    </row>
    <row r="20" spans="1:7" ht="39" customHeight="1" hidden="1">
      <c r="A20" s="348" t="s">
        <v>155</v>
      </c>
      <c r="B20" s="252"/>
      <c r="C20" s="22">
        <f>'Child Support Computation'!D33</f>
        <v>0</v>
      </c>
      <c r="D20" s="22">
        <f>'Child Support Computation'!E33</f>
        <v>1</v>
      </c>
      <c r="E20" s="249" t="s">
        <v>7</v>
      </c>
      <c r="G20" s="2" t="s">
        <v>7</v>
      </c>
    </row>
    <row r="21" spans="1:12" ht="42.75" customHeight="1" hidden="1">
      <c r="A21" s="348" t="s">
        <v>156</v>
      </c>
      <c r="B21" s="254">
        <f>'Child Support Computation'!C34</f>
      </c>
      <c r="C21" s="251" t="s">
        <v>7</v>
      </c>
      <c r="D21" s="250"/>
      <c r="E21" s="232">
        <f>IF(ISERROR(B21*E17),"",B21*E17)</f>
      </c>
      <c r="F21" s="2" t="s">
        <v>7</v>
      </c>
      <c r="G21"/>
      <c r="H21" s="170" t="s">
        <v>7</v>
      </c>
      <c r="I21" s="2" t="s">
        <v>7</v>
      </c>
      <c r="J21" s="136" t="s">
        <v>7</v>
      </c>
      <c r="K21" s="136"/>
      <c r="L21" s="136"/>
    </row>
    <row r="22" spans="1:8" ht="42" customHeight="1" hidden="1">
      <c r="A22" s="348" t="s">
        <v>157</v>
      </c>
      <c r="B22" s="253"/>
      <c r="C22" s="21">
        <f>'Child Support Computation'!D35</f>
      </c>
      <c r="D22" s="21">
        <f>'Child Support Computation'!E35</f>
      </c>
      <c r="E22" s="232"/>
      <c r="G22"/>
      <c r="H22"/>
    </row>
    <row r="23" spans="1:8" ht="43.5" customHeight="1" hidden="1">
      <c r="A23" s="349" t="s">
        <v>158</v>
      </c>
      <c r="B23" s="253"/>
      <c r="C23" s="25">
        <f>'Child Support Computation'!D36</f>
      </c>
      <c r="D23" s="25">
        <f>'Child Support Computation'!E36</f>
      </c>
      <c r="E23" s="227"/>
      <c r="F23" s="2" t="s">
        <v>7</v>
      </c>
      <c r="G23" t="s">
        <v>5</v>
      </c>
      <c r="H23"/>
    </row>
    <row r="24" spans="1:8" ht="45" customHeight="1" hidden="1">
      <c r="A24" s="345" t="s">
        <v>305</v>
      </c>
      <c r="B24" s="257"/>
      <c r="C24" s="143">
        <f>'Child Support Computation'!D37</f>
        <v>0</v>
      </c>
      <c r="D24" s="143">
        <f>'Child Support Computation'!E37</f>
        <v>0</v>
      </c>
      <c r="E24" s="227"/>
      <c r="F24" s="135" t="s">
        <v>7</v>
      </c>
      <c r="G24" t="s">
        <v>6</v>
      </c>
      <c r="H24"/>
    </row>
    <row r="25" spans="1:8" ht="32.25" customHeight="1" thickBot="1">
      <c r="A25" s="350" t="s">
        <v>324</v>
      </c>
      <c r="B25" s="337" t="s">
        <v>7</v>
      </c>
      <c r="C25" s="255"/>
      <c r="D25" s="256"/>
      <c r="E25" s="187"/>
      <c r="G25" s="2" t="s">
        <v>7</v>
      </c>
      <c r="H25" s="2" t="str">
        <f>PROPER(B25)</f>
        <v> </v>
      </c>
    </row>
    <row r="26" spans="1:5" ht="27" hidden="1" thickBot="1" thickTop="1">
      <c r="A26" s="351" t="s">
        <v>14</v>
      </c>
      <c r="B26" s="258"/>
      <c r="C26" s="182" t="s">
        <v>5</v>
      </c>
      <c r="D26" s="182" t="s">
        <v>6</v>
      </c>
      <c r="E26" s="200" t="s">
        <v>74</v>
      </c>
    </row>
    <row r="27" spans="1:7" ht="54" customHeight="1" thickTop="1">
      <c r="A27" s="347" t="s">
        <v>312</v>
      </c>
      <c r="B27" s="264"/>
      <c r="C27" s="183">
        <v>0</v>
      </c>
      <c r="D27" s="183">
        <v>0</v>
      </c>
      <c r="E27" s="188">
        <v>0</v>
      </c>
      <c r="F27" s="150" t="s">
        <v>7</v>
      </c>
      <c r="G27" s="2" t="s">
        <v>7</v>
      </c>
    </row>
    <row r="28" spans="1:6" ht="42" customHeight="1" hidden="1">
      <c r="A28" s="352" t="s">
        <v>186</v>
      </c>
      <c r="B28" s="260"/>
      <c r="C28" s="25">
        <f>'Child Support Computation'!D41</f>
        <v>0</v>
      </c>
      <c r="D28" s="25">
        <f>'Child Support Computation'!E41</f>
        <v>0</v>
      </c>
      <c r="E28" s="189">
        <f>IF('Child Support Computation'!G40&gt;0,IF(B25="mother","",IF(B25="father","","ERROR, Enter Obligor")),"")</f>
      </c>
      <c r="F28" s="2" t="s">
        <v>7</v>
      </c>
    </row>
    <row r="29" spans="1:5" ht="42" customHeight="1">
      <c r="A29" s="343" t="s">
        <v>163</v>
      </c>
      <c r="B29" s="240"/>
      <c r="C29" s="145" t="s">
        <v>7</v>
      </c>
      <c r="D29" s="42" t="s">
        <v>7</v>
      </c>
      <c r="E29" s="189">
        <f>IF(SUM(C29:D29)&gt;0,IF(B25="mother","",IF(B25="father","","Enter Obligor")),"")</f>
      </c>
    </row>
    <row r="30" spans="1:5" ht="39" customHeight="1">
      <c r="A30" s="343" t="s">
        <v>164</v>
      </c>
      <c r="B30" s="240"/>
      <c r="C30" s="145" t="s">
        <v>7</v>
      </c>
      <c r="D30" s="194" t="s">
        <v>7</v>
      </c>
      <c r="E30" s="189" t="s">
        <v>7</v>
      </c>
    </row>
    <row r="31" spans="1:5" ht="39.75" customHeight="1">
      <c r="A31" s="343" t="s">
        <v>165</v>
      </c>
      <c r="B31" s="240"/>
      <c r="C31" s="214" t="s">
        <v>7</v>
      </c>
      <c r="D31" s="214" t="s">
        <v>7</v>
      </c>
      <c r="E31" s="190"/>
    </row>
    <row r="32" spans="1:7" ht="41.25" customHeight="1" hidden="1">
      <c r="A32" s="343" t="s">
        <v>167</v>
      </c>
      <c r="B32" s="259"/>
      <c r="C32" s="144">
        <f>'Child Support Computation'!D45</f>
        <v>0</v>
      </c>
      <c r="D32" s="144">
        <f>'Child Support Computation'!E45</f>
        <v>0</v>
      </c>
      <c r="E32" s="226">
        <f>IF(G34="*","Use Line 8 for obligee","")</f>
      </c>
      <c r="F32" s="2" t="s">
        <v>7</v>
      </c>
      <c r="G32"/>
    </row>
    <row r="33" spans="1:7" ht="37.5" customHeight="1" hidden="1">
      <c r="A33" s="343" t="s">
        <v>317</v>
      </c>
      <c r="B33" s="259"/>
      <c r="C33" s="144">
        <f>'Child Support Computation'!D46</f>
      </c>
      <c r="D33" s="144">
        <f>'Child Support Computation'!E46</f>
      </c>
      <c r="E33" s="196"/>
      <c r="G33"/>
    </row>
    <row r="34" spans="1:7" ht="39.75" customHeight="1" hidden="1">
      <c r="A34" s="343" t="s">
        <v>168</v>
      </c>
      <c r="B34" s="240"/>
      <c r="C34" s="143">
        <f>'Child Support Computation'!D47</f>
      </c>
      <c r="D34" s="143">
        <f>'Child Support Computation'!E47</f>
      </c>
      <c r="E34" s="210">
        <f>IF(G34="*","&lt;&lt; Obligee pays total cost.","")</f>
      </c>
      <c r="G34" s="2">
        <f>IF(C34="*","*",IF(D34="*","*",""))</f>
      </c>
    </row>
    <row r="35" spans="1:7" ht="32.25" customHeight="1" hidden="1">
      <c r="A35" s="343" t="s">
        <v>316</v>
      </c>
      <c r="B35" s="240"/>
      <c r="C35" s="25">
        <f>'Child Support Computation'!D48</f>
        <v>0</v>
      </c>
      <c r="D35" s="25">
        <f>'Child Support Computation'!E48</f>
        <v>0</v>
      </c>
      <c r="E35" s="190"/>
      <c r="F35" s="2" t="s">
        <v>7</v>
      </c>
      <c r="G35" s="2" t="s">
        <v>7</v>
      </c>
    </row>
    <row r="36" spans="1:5" ht="45" customHeight="1" hidden="1">
      <c r="A36" s="343" t="s">
        <v>169</v>
      </c>
      <c r="B36" s="260"/>
      <c r="C36" s="21">
        <f>'Child Support Computation'!D49</f>
        <v>0</v>
      </c>
      <c r="D36" s="21">
        <f>'Child Support Computation'!E49</f>
        <v>0</v>
      </c>
      <c r="E36" s="190"/>
    </row>
    <row r="37" spans="1:13" s="28" customFormat="1" ht="43.5" customHeight="1" hidden="1">
      <c r="A37" s="352" t="s">
        <v>170</v>
      </c>
      <c r="B37" s="243"/>
      <c r="C37" s="25">
        <f>'Child Support Computation'!D50</f>
        <v>0</v>
      </c>
      <c r="D37" s="25">
        <f>'Child Support Computation'!E50</f>
        <v>0</v>
      </c>
      <c r="E37" s="190" t="s">
        <v>7</v>
      </c>
      <c r="F37" s="146" t="s">
        <v>7</v>
      </c>
      <c r="G37" s="27" t="s">
        <v>7</v>
      </c>
      <c r="H37" s="27"/>
      <c r="I37" s="27"/>
      <c r="J37" s="27"/>
      <c r="K37" s="27"/>
      <c r="L37" s="27"/>
      <c r="M37" s="27"/>
    </row>
    <row r="38" spans="1:7" ht="90" customHeight="1">
      <c r="A38" s="347" t="s">
        <v>171</v>
      </c>
      <c r="B38" s="261"/>
      <c r="C38" s="20">
        <v>0</v>
      </c>
      <c r="D38" s="20">
        <v>0</v>
      </c>
      <c r="E38" s="152">
        <v>0</v>
      </c>
      <c r="F38"/>
      <c r="G38"/>
    </row>
    <row r="39" spans="1:7" ht="42" customHeight="1" hidden="1">
      <c r="A39" s="352" t="s">
        <v>172</v>
      </c>
      <c r="B39" s="243"/>
      <c r="C39" s="25">
        <f>'Child Support Computation'!D53</f>
        <v>0</v>
      </c>
      <c r="D39" s="25">
        <f>'Child Support Computation'!E53</f>
        <v>0</v>
      </c>
      <c r="E39" s="306">
        <f>IF(C25&gt;0,IF(B25="mother","",IF(B25="father","","Enter Obligor")),"")</f>
      </c>
      <c r="F39"/>
      <c r="G39"/>
    </row>
    <row r="40" spans="1:14" ht="44.25" customHeight="1" hidden="1">
      <c r="A40" s="347" t="s">
        <v>173</v>
      </c>
      <c r="B40" s="243"/>
      <c r="C40" s="21">
        <f>'Child Support Computation'!D54</f>
        <v>0</v>
      </c>
      <c r="D40" s="21">
        <f>'Child Support Computation'!E54</f>
        <v>0</v>
      </c>
      <c r="E40" s="305" t="s">
        <v>7</v>
      </c>
      <c r="F40"/>
      <c r="G40"/>
      <c r="I40" s="2" t="s">
        <v>7</v>
      </c>
      <c r="K40"/>
      <c r="L40"/>
      <c r="M40"/>
      <c r="N40" t="s">
        <v>7</v>
      </c>
    </row>
    <row r="41" spans="1:7" ht="45" customHeight="1">
      <c r="A41" s="353" t="s">
        <v>176</v>
      </c>
      <c r="B41" s="262"/>
      <c r="C41" s="140">
        <v>0</v>
      </c>
      <c r="D41" s="140">
        <v>0</v>
      </c>
      <c r="E41" s="272">
        <v>0</v>
      </c>
      <c r="F41"/>
      <c r="G41"/>
    </row>
    <row r="42" spans="1:14" ht="36.75" customHeight="1" hidden="1">
      <c r="A42" s="343" t="s">
        <v>174</v>
      </c>
      <c r="B42" s="242"/>
      <c r="C42" s="25">
        <f>'Child Support Computation'!D57</f>
        <v>0</v>
      </c>
      <c r="D42" s="25">
        <f>'Child Support Computation'!E57</f>
        <v>0</v>
      </c>
      <c r="E42" s="189">
        <f>IF('Child Support Comp Entry'!G56&gt;0,IF(G25&lt;&gt;"mother","",IF(G25="father","","Enter Obligor in proper line")),IF('Child Support Comp Entry'!G56&gt;0&gt;0,IF(G25="mother","",IF(G25&lt;&gt;"father","","Enter Obligor in proper line")),""))</f>
      </c>
      <c r="F42"/>
      <c r="G42"/>
      <c r="K42"/>
      <c r="L42"/>
      <c r="M42"/>
      <c r="N42" t="s">
        <v>7</v>
      </c>
    </row>
    <row r="43" spans="1:13" ht="42.75" customHeight="1" hidden="1">
      <c r="A43" s="352" t="s">
        <v>175</v>
      </c>
      <c r="B43" s="243"/>
      <c r="C43" s="25">
        <f>'Child Support Computation'!D58</f>
        <v>0</v>
      </c>
      <c r="D43" s="25">
        <f>'Child Support Computation'!E58</f>
        <v>0</v>
      </c>
      <c r="E43" s="189"/>
      <c r="F43"/>
      <c r="G43"/>
      <c r="K43"/>
      <c r="L43"/>
      <c r="M43"/>
    </row>
    <row r="44" spans="1:7" ht="33.75" customHeight="1">
      <c r="A44" s="343" t="s">
        <v>179</v>
      </c>
      <c r="B44" s="263"/>
      <c r="C44" s="20">
        <v>0</v>
      </c>
      <c r="D44" s="20">
        <v>0</v>
      </c>
      <c r="E44" s="192">
        <v>0</v>
      </c>
      <c r="F44"/>
      <c r="G44"/>
    </row>
    <row r="45" spans="1:14" ht="36.75" customHeight="1" hidden="1">
      <c r="A45" s="342" t="s">
        <v>178</v>
      </c>
      <c r="B45" s="243"/>
      <c r="C45" s="25">
        <f>'Child Support Computation'!D60</f>
        <v>0</v>
      </c>
      <c r="D45" s="25">
        <f>'Child Support Computation'!E60</f>
        <v>0</v>
      </c>
      <c r="E45" s="189">
        <f>IF('Child Support Computation'!G59&gt;0,IF(B25="mother","",IF(B25="father","","Enter Obligor in proper line")),IF('Child Support Computation'!G59&gt;0,IF(B25="mother","",IF(B25="father","","Enter Obligor in proper line")),""))</f>
      </c>
      <c r="F45"/>
      <c r="G45"/>
      <c r="K45"/>
      <c r="L45"/>
      <c r="M45"/>
      <c r="N45" t="s">
        <v>7</v>
      </c>
    </row>
    <row r="46" spans="1:13" ht="42" customHeight="1" hidden="1">
      <c r="A46" s="352" t="s">
        <v>177</v>
      </c>
      <c r="B46" s="243"/>
      <c r="C46" s="25">
        <f>'Child Support Computation'!D61</f>
        <v>0</v>
      </c>
      <c r="D46" s="25">
        <f>'Child Support Computation'!E61</f>
        <v>0</v>
      </c>
      <c r="E46" s="189"/>
      <c r="F46"/>
      <c r="G46"/>
      <c r="K46"/>
      <c r="L46"/>
      <c r="M46"/>
    </row>
    <row r="47" spans="1:7" ht="45" customHeight="1" hidden="1">
      <c r="A47" s="345" t="s">
        <v>306</v>
      </c>
      <c r="B47" s="243"/>
      <c r="C47" s="21">
        <f>'Child Support Computation'!D63</f>
        <v>0</v>
      </c>
      <c r="D47" s="21">
        <f>'Child Support Computation'!E63</f>
        <v>0</v>
      </c>
      <c r="E47" s="184"/>
      <c r="F47"/>
      <c r="G47"/>
    </row>
    <row r="48" spans="1:7" ht="39" customHeight="1" hidden="1">
      <c r="A48" s="354" t="s">
        <v>314</v>
      </c>
      <c r="B48" s="240"/>
      <c r="C48" s="21">
        <f>'Child Support Computation'!D64</f>
      </c>
      <c r="D48" s="21">
        <f>'Child Support Computation'!E64</f>
      </c>
      <c r="E48" s="184"/>
      <c r="F48"/>
      <c r="G48"/>
    </row>
    <row r="49" spans="1:9" ht="42" customHeight="1" hidden="1">
      <c r="A49" s="347" t="s">
        <v>313</v>
      </c>
      <c r="B49" s="263"/>
      <c r="C49" s="179">
        <f>'Child Support Computation'!D65</f>
        <v>0</v>
      </c>
      <c r="D49" s="179">
        <f>'Child Support Computation'!E65</f>
        <v>0</v>
      </c>
      <c r="E49" s="199"/>
      <c r="F49"/>
      <c r="G49"/>
      <c r="I49" s="2" t="s">
        <v>7</v>
      </c>
    </row>
    <row r="50" spans="1:9" ht="34.5" customHeight="1">
      <c r="A50" s="353" t="s">
        <v>180</v>
      </c>
      <c r="B50" s="176"/>
      <c r="C50" s="265"/>
      <c r="D50" s="266"/>
      <c r="E50" s="184"/>
      <c r="F50"/>
      <c r="G50"/>
      <c r="H50" s="150" t="s">
        <v>7</v>
      </c>
      <c r="I50" s="150"/>
    </row>
    <row r="51" spans="1:9" ht="55.5" customHeight="1">
      <c r="A51" s="347" t="s">
        <v>181</v>
      </c>
      <c r="B51" s="169" t="s">
        <v>3</v>
      </c>
      <c r="C51" s="209">
        <f>IF(ISNUMBER(B50),IF(B50&gt;0,IF(B51="mother","",IF(B51="father","",IF(B51="other","","                        CORRECT FIELD REQUIRED"))),""),"")</f>
      </c>
      <c r="D51" s="215"/>
      <c r="E51" s="184"/>
      <c r="F51"/>
      <c r="G51"/>
      <c r="H51" s="150">
        <f>PROPER(B51)</f>
      </c>
      <c r="I51" s="150"/>
    </row>
    <row r="52" spans="1:9" ht="42.75" customHeight="1" hidden="1">
      <c r="A52" s="355" t="s">
        <v>182</v>
      </c>
      <c r="B52" s="268"/>
      <c r="C52" s="143">
        <f>'Child Support Computation'!D69</f>
        <v>0</v>
      </c>
      <c r="D52" s="143">
        <f>'Child Support Computation'!E69</f>
        <v>0</v>
      </c>
      <c r="E52" s="199"/>
      <c r="F52"/>
      <c r="G52"/>
      <c r="H52" s="174"/>
      <c r="I52" s="174"/>
    </row>
    <row r="53" spans="1:9" ht="43.5" customHeight="1" hidden="1">
      <c r="A53" s="355" t="s">
        <v>183</v>
      </c>
      <c r="B53" s="269"/>
      <c r="C53" s="143">
        <f>'Child Support Computation'!D70</f>
      </c>
      <c r="D53" s="143">
        <f>'Child Support Computation'!E70</f>
      </c>
      <c r="E53" s="184"/>
      <c r="F53"/>
      <c r="G53"/>
      <c r="H53" s="174"/>
      <c r="I53" s="174" t="s">
        <v>7</v>
      </c>
    </row>
    <row r="54" spans="1:9" ht="48" customHeight="1" hidden="1">
      <c r="A54" s="347" t="s">
        <v>184</v>
      </c>
      <c r="B54" s="270"/>
      <c r="C54" s="143">
        <f>'Child Support Computation'!D71</f>
        <v>0</v>
      </c>
      <c r="D54" s="143">
        <f>'Child Support Computation'!E71</f>
        <v>0</v>
      </c>
      <c r="E54" s="199"/>
      <c r="F54"/>
      <c r="G54"/>
      <c r="H54" s="167"/>
      <c r="I54" s="167"/>
    </row>
    <row r="55" spans="1:9" ht="45" customHeight="1">
      <c r="A55" s="345" t="s">
        <v>307</v>
      </c>
      <c r="B55" s="269"/>
      <c r="C55" s="364">
        <f>'Child Support Computation'!D74</f>
      </c>
      <c r="D55" s="364">
        <f>'Child Support Computation'!E74</f>
      </c>
      <c r="E55" s="228" t="s">
        <v>7</v>
      </c>
      <c r="F55"/>
      <c r="G55"/>
      <c r="H55" s="21">
        <f>'Child Support Computation'!ID74</f>
        <v>0</v>
      </c>
      <c r="I55" s="21">
        <f>'Child Support Computation'!IE74</f>
        <v>0</v>
      </c>
    </row>
    <row r="56" spans="1:9" ht="46.5" customHeight="1">
      <c r="A56" s="345" t="s">
        <v>308</v>
      </c>
      <c r="B56" s="267"/>
      <c r="C56" s="364">
        <f>'Child Support Computation'!D75</f>
      </c>
      <c r="D56" s="364">
        <f>'Child Support Computation'!E75</f>
      </c>
      <c r="E56" s="228"/>
      <c r="F56"/>
      <c r="G56"/>
      <c r="H56" s="21">
        <f>'Child Support Computation'!D75</f>
      </c>
      <c r="I56" s="21">
        <f>'Child Support Computation'!E75</f>
      </c>
    </row>
    <row r="57" spans="1:9" ht="45.75" customHeight="1">
      <c r="A57" s="345" t="s">
        <v>309</v>
      </c>
      <c r="B57" s="267"/>
      <c r="C57" s="364">
        <f>'Child Support Computation'!D76</f>
      </c>
      <c r="D57" s="364">
        <f>'Child Support Computation'!E76</f>
      </c>
      <c r="E57" s="228"/>
      <c r="F57" s="135"/>
      <c r="H57" s="21">
        <f>'Child Support Computation'!D76</f>
      </c>
      <c r="I57" s="21">
        <f>'Child Support Computation'!E76</f>
      </c>
    </row>
    <row r="58" spans="1:9" ht="40.5" customHeight="1">
      <c r="A58" s="356" t="s">
        <v>310</v>
      </c>
      <c r="B58" s="267"/>
      <c r="C58" s="365">
        <f>'Child Support Computation'!D77</f>
      </c>
      <c r="D58" s="365">
        <f>'Child Support Computation'!E77</f>
      </c>
      <c r="E58" s="304"/>
      <c r="F58" s="135" t="s">
        <v>7</v>
      </c>
      <c r="H58" s="25">
        <f>'Child Support Computation'!D77</f>
      </c>
      <c r="I58" s="25">
        <f>'Child Support Computation'!E77</f>
      </c>
    </row>
    <row r="59" spans="1:6" ht="33" customHeight="1" thickBot="1">
      <c r="A59" s="357" t="s">
        <v>315</v>
      </c>
      <c r="B59" s="339"/>
      <c r="C59" s="358"/>
      <c r="D59" s="358"/>
      <c r="E59" s="340"/>
      <c r="F59" s="147"/>
    </row>
    <row r="60" ht="12.75" customHeight="1" thickTop="1"/>
    <row r="61" ht="12.75" customHeight="1" hidden="1">
      <c r="B61" s="5" t="s">
        <v>6</v>
      </c>
    </row>
    <row r="62" ht="12.75" customHeight="1" hidden="1">
      <c r="B62" s="5" t="s">
        <v>5</v>
      </c>
    </row>
    <row r="63" ht="12.75" customHeight="1" hidden="1">
      <c r="B63" s="5" t="s">
        <v>187</v>
      </c>
    </row>
    <row r="64" ht="12.75" customHeight="1"/>
    <row r="65" ht="12.75" customHeight="1"/>
    <row r="66" ht="12.75" customHeight="1"/>
    <row r="67" ht="12.75" customHeight="1"/>
    <row r="68" ht="12.75" customHeight="1"/>
    <row r="69" ht="12.75" customHeight="1"/>
  </sheetData>
  <sheetProtection sheet="1" objects="1" scenarios="1"/>
  <mergeCells count="2">
    <mergeCell ref="A1:E1"/>
    <mergeCell ref="I3:M3"/>
  </mergeCells>
  <dataValidations count="50">
    <dataValidation showInputMessage="1" showErrorMessage="1" promptTitle="Required entry" prompt="Enter the number of children on this case." sqref="B4"/>
    <dataValidation type="custom" showInputMessage="1" showErrorMessage="1" promptTitle="Required entry." prompt="Enter the obligor.  This entry should be Father or Mother. " sqref="B25">
      <formula1>OR(PROPER(B25)="Father",PROPER(B25)="Mother",B25="",B25=" ")</formula1>
    </dataValidation>
    <dataValidation allowBlank="1" showInputMessage="1" showErrorMessage="1" prompt="Enter the number of children on this case not covered by health insurance." sqref="B50"/>
    <dataValidation allowBlank="1" showInputMessage="1" showErrorMessage="1" prompt="Enter the number of children included in this order from the Father's household receiving child care subsidy." sqref="C30"/>
    <dataValidation type="custom" allowBlank="1" showInputMessage="1" showErrorMessage="1" prompt="If you entered children not covered by health insurance, enter the Soonercare or other health care government assistance applicant for the children in this case not covered by insurance.  Enter Father, Mother or Other." error="Press Esc then Tab or reenter Father, Mother, or Other" sqref="B51">
      <formula1>OR(PROPER(B51)="Father",PROPER(B51)="Mother",PROPER(B51)="Other",B51=" ",B51="")</formula1>
    </dataValidation>
    <dataValidation allowBlank="1" showInputMessage="1" showErrorMessage="1" promptTitle="Required entry" prompt="Enter the Father's gross monthly income." sqref="C5"/>
    <dataValidation allowBlank="1" showInputMessage="1" showErrorMessage="1" promptTitle="Required entry" prompt="Enter the Mother's gross monthly income." sqref="D5"/>
    <dataValidation allowBlank="1" showInputMessage="1" showErrorMessage="1" prompt="Enter the amount of self-employment income included in Father's gross monthly income." sqref="C6"/>
    <dataValidation allowBlank="1" showInputMessage="1" showErrorMessage="1" prompt="Enter the amount of self-employment income included in Mother's gross monthly income." sqref="D6"/>
    <dataValidation allowBlank="1" showInputMessage="1" showErrorMessage="1" prompt="Enter the Father's amount of S.S.A. Title II benefits paid for the benefit of the children." sqref="C9"/>
    <dataValidation allowBlank="1" showInputMessage="1" showErrorMessage="1" prompt="Enter the Mother's amount of S.S.A. Title II benefits paid for the benefit of the children." sqref="D9"/>
    <dataValidation allowBlank="1" showInputMessage="1" showErrorMessage="1" prompt="Enter the Father's court ordered support alimony actually paid in a prior case." sqref="C10"/>
    <dataValidation allowBlank="1" showInputMessage="1" showErrorMessage="1" prompt="Enter the Mother's court ordered support alimony actually paid in a prior case." sqref="D10"/>
    <dataValidation allowBlank="1" showInputMessage="1" showErrorMessage="1" prompt="Enter the Father's court ordered monthly adjustment for marital debt." sqref="C11"/>
    <dataValidation allowBlank="1" showInputMessage="1" showErrorMessage="1" prompt="Enter the Mother's court ordered monthly adjustment for marital debt." sqref="D11"/>
    <dataValidation allowBlank="1" showInputMessage="1" showErrorMessage="1" prompt="Enter the Father's court ordered monthly child support actually paid for qualified out-of-home children." sqref="C12"/>
    <dataValidation allowBlank="1" showInputMessage="1" showErrorMessage="1" prompt="Enter the Mother's court ordered monthly child support actually paid for qualified out-of-home children." sqref="D12"/>
    <dataValidation allowBlank="1" showInputMessage="1" showErrorMessage="1" prompt="Enter the Father's number of qualified in-home children excluding children on this case." sqref="C13"/>
    <dataValidation allowBlank="1" showInputMessage="1" showErrorMessage="1" prompt="Enter the Mother's number of qualified in-home children excluding children on this case." sqref="D13"/>
    <dataValidation allowBlank="1" showInputMessage="1" showErrorMessage="1" prompt="Enter the number of overnights for the Father.  If less than 121 for either parent, skip this entry." sqref="C19"/>
    <dataValidation allowBlank="1" showInputMessage="1" showErrorMessage="1" prompt="Enter the Father's monthly child care expenses for the children in this case." sqref="C27"/>
    <dataValidation allowBlank="1" showInputMessage="1" showErrorMessage="1" prompt="Enter the Mother's monthly child care expenses for the children in this case." sqref="D27"/>
    <dataValidation allowBlank="1" showInputMessage="1" showErrorMessage="1" prompt="Enter the Other Cusodian's monthly child care expenses for children in this case." sqref="E27"/>
    <dataValidation allowBlank="1" showInputMessage="1" showErrorMessage="1" prompt="Enter the number of children in the Father's household receiving child care subsidy." sqref="C29"/>
    <dataValidation allowBlank="1" showInputMessage="1" showErrorMessage="1" prompt="Enter the number of children in Mother's household receiving child care subsidy." sqref="D29"/>
    <dataValidation allowBlank="1" showInputMessage="1" showErrorMessage="1" prompt="Enter the number of children included in this order from the Mother's household receiving child care subsidy." sqref="D30"/>
    <dataValidation type="custom" allowBlank="1" showInputMessage="1" showErrorMessage="1" prompt="Enter the number of overnights for the Mother.  If entering Father's overnights was skipped, skip this entry also. " error="Total of Father's overnights and Mother's overnights should = 365." sqref="D19">
      <formula1>IF(ISNUMBER(C19),D19=365-C19)</formula1>
    </dataValidation>
    <dataValidation allowBlank="1" showInputMessage="1" showErrorMessage="1" prompt="Enter the Father's actual gross monthly income less self-employment tax." sqref="C31"/>
    <dataValidation allowBlank="1" showInputMessage="1" showErrorMessage="1" prompt="Enter the Mother's actual gross monthly income less self-employment tax." sqref="D31"/>
    <dataValidation allowBlank="1" showInputMessage="1" showErrorMessage="1" prompt="Enter the Father's monthly health insurance premium costs." sqref="C38"/>
    <dataValidation allowBlank="1" showInputMessage="1" showErrorMessage="1" prompt="Enter the Mother's monthly health insurance premium costs." sqref="D38"/>
    <dataValidation allowBlank="1" showInputMessage="1" showErrorMessage="1" prompt="Enter the Other Custodian's monthly health insurance premium costs." sqref="E38"/>
    <dataValidation allowBlank="1" showInputMessage="1" showErrorMessage="1" prompt="Enter the Father's ongoing medical costs." sqref="C41"/>
    <dataValidation allowBlank="1" showInputMessage="1" showErrorMessage="1" prompt="Enter the Mother's ongoing medical costs." sqref="D41"/>
    <dataValidation allowBlank="1" showInputMessage="1" showErrorMessage="1" prompt="Enter the Other Custodian's ongoing medical costs." sqref="E41"/>
    <dataValidation allowBlank="1" showInputMessage="1" showErrorMessage="1" prompt="Enter the Father's visitation transportation costs." sqref="C44"/>
    <dataValidation allowBlank="1" showInputMessage="1" showErrorMessage="1" prompt="Enter the Mother's visitation transportation costs." sqref="D44"/>
    <dataValidation allowBlank="1" showInputMessage="1" showErrorMessage="1" prompt="Enter the Other Custodian's visitation transportation costs." sqref="E44"/>
    <dataValidation allowBlank="1" showInputMessage="1" showErrorMessage="1" prompt=" " sqref="I55"/>
    <dataValidation type="custom" allowBlank="1" showInputMessage="1" showErrorMessage="1" promptTitle="Not an entry field" prompt="This is the calculated child support portion of the Mother's monthly obligation." error="Press Esc then Tab" sqref="D55">
      <formula1>"I55"</formula1>
    </dataValidation>
    <dataValidation type="custom" allowBlank="1" showInputMessage="1" showErrorMessage="1" promptTitle="Not an entry field" prompt="This is the Father's cash medical portion of his monthly obligation." error="Press Esc then Tab" sqref="C56">
      <formula1>"h56"</formula1>
    </dataValidation>
    <dataValidation type="custom" allowBlank="1" showInputMessage="1" showErrorMessage="1" promptTitle="Not an entry field" prompt="This is the Mother's cash medical portion of her monthly obligation." error="Press Esc then Tab" sqref="D56">
      <formula1>"I56"</formula1>
    </dataValidation>
    <dataValidation type="custom" allowBlank="1" showInputMessage="1" showErrorMessage="1" promptTitle="Not an entry field" prompt="This is the Father's ongoing medical costs portion of his monthly obligation." error="Press Esc then Tab" sqref="C57">
      <formula1>"h57"</formula1>
    </dataValidation>
    <dataValidation type="custom" allowBlank="1" showInputMessage="1" showErrorMessage="1" promptTitle="Not an entry field" prompt="This is the Mother's ongoing medical costs portion of her monthly obligation." error="Press Esc then Tab" sqref="D57">
      <formula1>"i57"</formula1>
    </dataValidation>
    <dataValidation type="custom" allowBlank="1" showInputMessage="1" showErrorMessage="1" promptTitle="Not an entry field" prompt="This is the Father's total monthly obligation to be paid." error="Press Esc then Tab" sqref="C58">
      <formula1>"h58"</formula1>
    </dataValidation>
    <dataValidation type="custom" allowBlank="1" showInputMessage="1" showErrorMessage="1" promptTitle="Not an entry field" prompt="This is the Mother's total monthly obligation to be paid." error="Press Esc then Tab" sqref="D58">
      <formula1>"i58"</formula1>
    </dataValidation>
    <dataValidation type="custom" allowBlank="1" showInputMessage="1" showErrorMessage="1" promptTitle="Not an entry field" prompt="This is the calculated child support portion of the Father's monthly obligation." error="Press Esc then Tab" sqref="C55">
      <formula1>"h55"</formula1>
    </dataValidation>
    <dataValidation allowBlank="1" showInputMessage="1" showErrorMessage="1" promptTitle="RESET BUTTON" prompt="To reset or initialize the child support computation form to begin a new calculation, press this or use control R." sqref="F2"/>
    <dataValidation allowBlank="1" showInputMessage="1" showErrorMessage="1" promptTitle="Child Support computation form" prompt="This is the first of five worksheets available in this document.  To tab to the next worksheet, press Ctrl + Page Down.  To tab to a previous worksheet, use Ctrl + Page Up  " error="Press ESC key then TAB to go to entry cells." sqref="I3:M3"/>
    <dataValidation type="custom" allowBlank="1" showInputMessage="1" showErrorMessage="1" promptTitle="Child Support computation form" prompt="Use the Tab key to move to entry fields.  This is the first of five sheets available in this document.  To go to the next worksheet, press Control Page Down.  Control Page Up can be used on the other sheets to go to a previous sheet." error="Press ESC key then TAB to go to entry cells." sqref="A1:E1">
      <formula1>"i3"</formula1>
    </dataValidation>
  </dataValidations>
  <printOptions/>
  <pageMargins left="0.75" right="0.4" top="1" bottom="1" header="0.5" footer="0.5"/>
  <pageSetup horizontalDpi="600" verticalDpi="600" orientation="portrait" r:id="rId4"/>
  <headerFooter alignWithMargins="0">
    <oddFooter>&amp;LOKDHS 07/01/2009 &amp;C&amp;"Arial,Bold"&amp;12 03EN025E&amp;R&amp;P of &amp;N</oddFooter>
  </headerFooter>
  <drawing r:id="rId3"/>
  <legacyDrawing r:id="rId2"/>
  <oleObjects>
    <oleObject progId="MSPhotoEd.3" shapeId="1517140" r:id="rId1"/>
  </oleObjects>
</worksheet>
</file>

<file path=xl/worksheets/sheet3.xml><?xml version="1.0" encoding="utf-8"?>
<worksheet xmlns="http://schemas.openxmlformats.org/spreadsheetml/2006/main" xmlns:r="http://schemas.openxmlformats.org/officeDocument/2006/relationships">
  <sheetPr codeName="Sheet12"/>
  <dimension ref="A1:J80"/>
  <sheetViews>
    <sheetView workbookViewId="0" topLeftCell="A1">
      <selection activeCell="A1" sqref="A1:B1"/>
    </sheetView>
  </sheetViews>
  <sheetFormatPr defaultColWidth="9.140625" defaultRowHeight="12.75"/>
  <cols>
    <col min="1" max="1" width="18.00390625" style="0" customWidth="1"/>
    <col min="2" max="2" width="44.28125" style="0" customWidth="1"/>
    <col min="3" max="3" width="11.28125" style="0" customWidth="1"/>
    <col min="5" max="5" width="10.28125" style="0" hidden="1" customWidth="1"/>
  </cols>
  <sheetData>
    <row r="1" spans="1:10" ht="39" customHeight="1" thickBot="1">
      <c r="A1" s="394" t="s">
        <v>290</v>
      </c>
      <c r="B1" s="394"/>
      <c r="C1" s="2"/>
      <c r="D1" s="2"/>
      <c r="E1" t="s">
        <v>7</v>
      </c>
      <c r="F1" s="2"/>
      <c r="G1" s="2"/>
      <c r="H1" s="2"/>
      <c r="I1" s="2"/>
      <c r="J1" s="2"/>
    </row>
    <row r="2" spans="1:10" ht="38.25" customHeight="1" thickBot="1" thickTop="1">
      <c r="A2" s="308" t="s">
        <v>161</v>
      </c>
      <c r="B2" s="237" t="s">
        <v>197</v>
      </c>
      <c r="C2" s="147"/>
      <c r="D2" s="2"/>
      <c r="E2" t="s">
        <v>274</v>
      </c>
      <c r="F2" s="2"/>
      <c r="G2" s="2"/>
      <c r="H2" s="2"/>
      <c r="I2" s="2"/>
      <c r="J2" s="2"/>
    </row>
    <row r="3" spans="1:5" ht="26.25" thickTop="1">
      <c r="A3" s="313" t="s">
        <v>196</v>
      </c>
      <c r="B3" s="310" t="s">
        <v>322</v>
      </c>
      <c r="E3" s="2" t="s">
        <v>198</v>
      </c>
    </row>
    <row r="4" spans="1:5" ht="25.5" customHeight="1">
      <c r="A4" s="314" t="s">
        <v>188</v>
      </c>
      <c r="B4" s="319" t="s">
        <v>7</v>
      </c>
      <c r="E4" s="2" t="s">
        <v>199</v>
      </c>
    </row>
    <row r="5" spans="1:5" ht="25.5" customHeight="1">
      <c r="A5" s="314" t="s">
        <v>189</v>
      </c>
      <c r="B5" s="319" t="s">
        <v>7</v>
      </c>
      <c r="E5" t="s">
        <v>200</v>
      </c>
    </row>
    <row r="6" spans="1:5" ht="25.5" customHeight="1">
      <c r="A6" s="314" t="s">
        <v>190</v>
      </c>
      <c r="B6" s="319" t="s">
        <v>7</v>
      </c>
      <c r="E6" t="s">
        <v>201</v>
      </c>
    </row>
    <row r="7" spans="1:5" ht="25.5" customHeight="1">
      <c r="A7" s="314" t="s">
        <v>191</v>
      </c>
      <c r="B7" s="319" t="s">
        <v>7</v>
      </c>
      <c r="E7" t="s">
        <v>202</v>
      </c>
    </row>
    <row r="8" spans="1:5" ht="25.5" customHeight="1">
      <c r="A8" s="314" t="s">
        <v>192</v>
      </c>
      <c r="B8" s="319" t="s">
        <v>7</v>
      </c>
      <c r="E8" t="s">
        <v>203</v>
      </c>
    </row>
    <row r="9" spans="1:5" ht="40.5" customHeight="1">
      <c r="A9" s="314" t="s">
        <v>193</v>
      </c>
      <c r="B9" s="319" t="s">
        <v>7</v>
      </c>
      <c r="E9" t="s">
        <v>204</v>
      </c>
    </row>
    <row r="10" spans="1:5" ht="32.25" customHeight="1">
      <c r="A10" s="314" t="s">
        <v>194</v>
      </c>
      <c r="B10" s="319" t="s">
        <v>7</v>
      </c>
      <c r="E10" t="s">
        <v>205</v>
      </c>
    </row>
    <row r="11" spans="1:5" ht="31.5" customHeight="1" thickBot="1">
      <c r="A11" s="315" t="s">
        <v>195</v>
      </c>
      <c r="B11" s="321" t="s">
        <v>7</v>
      </c>
      <c r="E11" t="s">
        <v>206</v>
      </c>
    </row>
    <row r="12" spans="1:5" ht="19.5" customHeight="1" thickTop="1">
      <c r="A12" s="170"/>
      <c r="B12" s="309"/>
      <c r="E12" t="s">
        <v>207</v>
      </c>
    </row>
    <row r="13" ht="12.75">
      <c r="E13" t="s">
        <v>208</v>
      </c>
    </row>
    <row r="14" ht="12.75">
      <c r="E14" t="s">
        <v>209</v>
      </c>
    </row>
    <row r="15" ht="12.75">
      <c r="E15" t="s">
        <v>210</v>
      </c>
    </row>
    <row r="16" ht="12.75">
      <c r="E16" t="s">
        <v>211</v>
      </c>
    </row>
    <row r="17" ht="12.75">
      <c r="E17" t="s">
        <v>212</v>
      </c>
    </row>
    <row r="18" ht="12.75">
      <c r="E18" t="s">
        <v>213</v>
      </c>
    </row>
    <row r="19" ht="12.75">
      <c r="E19" t="s">
        <v>214</v>
      </c>
    </row>
    <row r="20" ht="12.75">
      <c r="E20" t="s">
        <v>215</v>
      </c>
    </row>
    <row r="21" ht="12.75">
      <c r="E21" t="s">
        <v>216</v>
      </c>
    </row>
    <row r="22" ht="12.75">
      <c r="E22" t="s">
        <v>217</v>
      </c>
    </row>
    <row r="23" ht="12.75">
      <c r="E23" t="s">
        <v>218</v>
      </c>
    </row>
    <row r="24" ht="12.75">
      <c r="E24" t="s">
        <v>219</v>
      </c>
    </row>
    <row r="25" ht="12.75">
      <c r="E25" t="s">
        <v>220</v>
      </c>
    </row>
    <row r="26" ht="12.75">
      <c r="E26" t="s">
        <v>221</v>
      </c>
    </row>
    <row r="27" ht="12.75">
      <c r="E27" t="s">
        <v>222</v>
      </c>
    </row>
    <row r="28" ht="12.75">
      <c r="E28" t="s">
        <v>223</v>
      </c>
    </row>
    <row r="29" ht="12.75">
      <c r="E29" t="s">
        <v>224</v>
      </c>
    </row>
    <row r="30" ht="12.75">
      <c r="E30" t="s">
        <v>225</v>
      </c>
    </row>
    <row r="31" ht="12.75">
      <c r="E31" t="s">
        <v>226</v>
      </c>
    </row>
    <row r="32" ht="12.75">
      <c r="E32" t="s">
        <v>227</v>
      </c>
    </row>
    <row r="33" ht="12.75">
      <c r="E33" t="s">
        <v>228</v>
      </c>
    </row>
    <row r="34" ht="12.75">
      <c r="E34" t="s">
        <v>229</v>
      </c>
    </row>
    <row r="35" ht="12.75">
      <c r="E35" t="s">
        <v>230</v>
      </c>
    </row>
    <row r="36" ht="12.75">
      <c r="E36" t="s">
        <v>231</v>
      </c>
    </row>
    <row r="37" ht="12.75">
      <c r="E37" t="s">
        <v>232</v>
      </c>
    </row>
    <row r="38" ht="12.75">
      <c r="E38" t="s">
        <v>233</v>
      </c>
    </row>
    <row r="39" ht="12.75">
      <c r="E39" t="s">
        <v>234</v>
      </c>
    </row>
    <row r="40" ht="12.75">
      <c r="E40" t="s">
        <v>235</v>
      </c>
    </row>
    <row r="41" ht="12.75">
      <c r="E41" t="s">
        <v>236</v>
      </c>
    </row>
    <row r="42" ht="12.75">
      <c r="E42" t="s">
        <v>237</v>
      </c>
    </row>
    <row r="43" ht="12.75">
      <c r="E43" t="s">
        <v>238</v>
      </c>
    </row>
    <row r="44" ht="12.75">
      <c r="E44" t="s">
        <v>239</v>
      </c>
    </row>
    <row r="45" ht="12.75">
      <c r="E45" t="s">
        <v>240</v>
      </c>
    </row>
    <row r="46" ht="12.75">
      <c r="E46" t="s">
        <v>241</v>
      </c>
    </row>
    <row r="47" ht="12.75">
      <c r="E47" t="s">
        <v>242</v>
      </c>
    </row>
    <row r="48" ht="12.75">
      <c r="E48" t="s">
        <v>243</v>
      </c>
    </row>
    <row r="49" ht="12.75">
      <c r="E49" t="s">
        <v>244</v>
      </c>
    </row>
    <row r="50" ht="12.75">
      <c r="E50" t="s">
        <v>245</v>
      </c>
    </row>
    <row r="51" ht="12.75">
      <c r="E51" t="s">
        <v>246</v>
      </c>
    </row>
    <row r="52" ht="12.75">
      <c r="E52" t="s">
        <v>247</v>
      </c>
    </row>
    <row r="53" ht="12.75">
      <c r="E53" t="s">
        <v>248</v>
      </c>
    </row>
    <row r="54" ht="12.75">
      <c r="E54" t="s">
        <v>249</v>
      </c>
    </row>
    <row r="55" ht="12.75">
      <c r="E55" t="s">
        <v>250</v>
      </c>
    </row>
    <row r="56" ht="12.75">
      <c r="E56" t="s">
        <v>251</v>
      </c>
    </row>
    <row r="57" ht="12.75">
      <c r="E57" t="s">
        <v>252</v>
      </c>
    </row>
    <row r="58" ht="12.75">
      <c r="E58" t="s">
        <v>253</v>
      </c>
    </row>
    <row r="59" ht="12.75">
      <c r="E59" t="s">
        <v>254</v>
      </c>
    </row>
    <row r="60" ht="12.75">
      <c r="E60" t="s">
        <v>255</v>
      </c>
    </row>
    <row r="61" ht="12.75">
      <c r="E61" t="s">
        <v>256</v>
      </c>
    </row>
    <row r="62" ht="12.75">
      <c r="E62" t="s">
        <v>257</v>
      </c>
    </row>
    <row r="63" ht="12.75">
      <c r="E63" t="s">
        <v>258</v>
      </c>
    </row>
    <row r="64" ht="12.75">
      <c r="E64" t="s">
        <v>259</v>
      </c>
    </row>
    <row r="65" ht="12.75">
      <c r="E65" t="s">
        <v>260</v>
      </c>
    </row>
    <row r="66" ht="12.75">
      <c r="E66" t="s">
        <v>261</v>
      </c>
    </row>
    <row r="67" ht="12.75">
      <c r="E67" t="s">
        <v>262</v>
      </c>
    </row>
    <row r="68" ht="12.75">
      <c r="E68" t="s">
        <v>263</v>
      </c>
    </row>
    <row r="69" ht="12.75">
      <c r="E69" t="s">
        <v>264</v>
      </c>
    </row>
    <row r="70" ht="12.75">
      <c r="E70" t="s">
        <v>265</v>
      </c>
    </row>
    <row r="71" ht="12.75">
      <c r="E71" t="s">
        <v>266</v>
      </c>
    </row>
    <row r="72" ht="12.75">
      <c r="E72" t="s">
        <v>267</v>
      </c>
    </row>
    <row r="73" ht="12.75">
      <c r="E73" t="s">
        <v>268</v>
      </c>
    </row>
    <row r="74" ht="12.75">
      <c r="E74" t="s">
        <v>269</v>
      </c>
    </row>
    <row r="75" ht="12.75">
      <c r="E75" t="s">
        <v>270</v>
      </c>
    </row>
    <row r="76" ht="12.75">
      <c r="E76" t="s">
        <v>271</v>
      </c>
    </row>
    <row r="77" ht="12.75">
      <c r="E77" t="s">
        <v>272</v>
      </c>
    </row>
    <row r="78" ht="12.75">
      <c r="E78" t="s">
        <v>273</v>
      </c>
    </row>
    <row r="80" ht="12.75">
      <c r="E80" t="s">
        <v>7</v>
      </c>
    </row>
  </sheetData>
  <sheetProtection sheet="1" objects="1" scenarios="1"/>
  <mergeCells count="1">
    <mergeCell ref="A1:B1"/>
  </mergeCells>
  <dataValidations count="10">
    <dataValidation allowBlank="1" showInputMessage="1" showErrorMessage="1" promptTitle=" " prompt="Enter legal style line 1." sqref="B4"/>
    <dataValidation allowBlank="1" showInputMessage="1" showErrorMessage="1" promptTitle="Document Title" prompt="Enter a district court county or skip entry to use Administrative Review." sqref="B3"/>
    <dataValidation allowBlank="1" showInputMessage="1" showErrorMessage="1" prompt="Enter the Family Group Number." sqref="B11"/>
    <dataValidation type="custom" allowBlank="1" showInputMessage="1" showErrorMessage="1" promptTitle="Legal Styling " prompt="This is the second of five sheets in this document. Use Tab key to navigate to entry fields.  Column B is the only column for entry.  Each entry field has instructions and will print exactly as entered.  Use Control Page Down to go to the next sheet. " error="Press ESC key and then TAB to entry cells." sqref="A1:B1">
      <formula1>"CHILD SUPPORT COMPUTATION LEGAL STYLE (OPTIONAL)"</formula1>
    </dataValidation>
    <dataValidation allowBlank="1" showInputMessage="1" showErrorMessage="1" prompt="Enter legal style line 2" sqref="B5"/>
    <dataValidation allowBlank="1" showInputMessage="1" showErrorMessage="1" prompt="Enter legal style line 3" sqref="B6"/>
    <dataValidation allowBlank="1" showInputMessage="1" showErrorMessage="1" prompt="Enter legal style line 4" sqref="B7"/>
    <dataValidation allowBlank="1" showInputMessage="1" showErrorMessage="1" prompt="Enter legal style line 5" sqref="B8"/>
    <dataValidation allowBlank="1" showInputMessage="1" showErrorMessage="1" prompt="Enter the district court case number." sqref="B9"/>
    <dataValidation allowBlank="1" showInputMessage="1" showErrorMessage="1" prompt="Enter the Oklahoma Administrative Hearing Case Number." sqref="B10"/>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13"/>
  <dimension ref="A1:I18"/>
  <sheetViews>
    <sheetView workbookViewId="0" topLeftCell="A1">
      <selection activeCell="A1" sqref="A1:B1"/>
    </sheetView>
  </sheetViews>
  <sheetFormatPr defaultColWidth="9.140625" defaultRowHeight="12.75"/>
  <cols>
    <col min="1" max="1" width="22.7109375" style="0" customWidth="1"/>
    <col min="2" max="2" width="53.140625" style="0" customWidth="1"/>
    <col min="3" max="3" width="11.28125" style="0" customWidth="1"/>
  </cols>
  <sheetData>
    <row r="1" spans="1:9" ht="39" customHeight="1" thickBot="1">
      <c r="A1" s="395" t="s">
        <v>327</v>
      </c>
      <c r="B1" s="396"/>
      <c r="C1" s="2"/>
      <c r="D1" s="2"/>
      <c r="E1" s="2"/>
      <c r="F1" s="2"/>
      <c r="G1" s="2"/>
      <c r="H1" s="2"/>
      <c r="I1" s="2"/>
    </row>
    <row r="2" spans="1:9" ht="38.25" customHeight="1" thickBot="1" thickTop="1">
      <c r="A2" s="308" t="s">
        <v>161</v>
      </c>
      <c r="B2" s="237" t="s">
        <v>197</v>
      </c>
      <c r="C2" s="147"/>
      <c r="D2" s="2"/>
      <c r="E2" s="2"/>
      <c r="F2" s="2"/>
      <c r="G2" s="2"/>
      <c r="H2" s="2"/>
      <c r="I2" s="2"/>
    </row>
    <row r="3" spans="1:2" ht="25.5" customHeight="1" thickTop="1">
      <c r="A3" s="314" t="s">
        <v>285</v>
      </c>
      <c r="B3" s="319" t="s">
        <v>7</v>
      </c>
    </row>
    <row r="4" spans="1:2" ht="25.5" customHeight="1">
      <c r="A4" s="314" t="s">
        <v>286</v>
      </c>
      <c r="B4" s="319" t="s">
        <v>7</v>
      </c>
    </row>
    <row r="5" spans="1:2" ht="25.5">
      <c r="A5" s="316" t="s">
        <v>275</v>
      </c>
      <c r="B5" s="319" t="s">
        <v>7</v>
      </c>
    </row>
    <row r="6" spans="1:2" ht="76.5" customHeight="1">
      <c r="A6" s="314" t="s">
        <v>276</v>
      </c>
      <c r="B6" s="319" t="s">
        <v>7</v>
      </c>
    </row>
    <row r="7" spans="1:2" ht="34.5" customHeight="1">
      <c r="A7" s="314" t="s">
        <v>287</v>
      </c>
      <c r="B7" s="320" t="s">
        <v>7</v>
      </c>
    </row>
    <row r="8" spans="1:2" ht="30.75" customHeight="1">
      <c r="A8" s="314" t="s">
        <v>288</v>
      </c>
      <c r="B8" s="319" t="s">
        <v>7</v>
      </c>
    </row>
    <row r="9" spans="1:2" ht="29.25" customHeight="1">
      <c r="A9" s="314" t="s">
        <v>289</v>
      </c>
      <c r="B9" s="319" t="s">
        <v>7</v>
      </c>
    </row>
    <row r="10" spans="1:2" ht="25.5" customHeight="1">
      <c r="A10" s="314" t="s">
        <v>277</v>
      </c>
      <c r="B10" s="319" t="s">
        <v>7</v>
      </c>
    </row>
    <row r="11" spans="1:2" ht="25.5" customHeight="1">
      <c r="A11" s="314" t="s">
        <v>278</v>
      </c>
      <c r="B11" s="319" t="s">
        <v>7</v>
      </c>
    </row>
    <row r="12" spans="1:2" ht="29.25" customHeight="1">
      <c r="A12" s="314" t="s">
        <v>279</v>
      </c>
      <c r="B12" s="319" t="s">
        <v>7</v>
      </c>
    </row>
    <row r="13" spans="1:2" ht="25.5" customHeight="1">
      <c r="A13" s="314" t="s">
        <v>280</v>
      </c>
      <c r="B13" s="319" t="s">
        <v>7</v>
      </c>
    </row>
    <row r="14" spans="1:2" ht="29.25" customHeight="1">
      <c r="A14" s="314" t="s">
        <v>281</v>
      </c>
      <c r="B14" s="319" t="s">
        <v>7</v>
      </c>
    </row>
    <row r="15" spans="1:2" ht="25.5" customHeight="1">
      <c r="A15" s="314" t="s">
        <v>282</v>
      </c>
      <c r="B15" s="319" t="s">
        <v>7</v>
      </c>
    </row>
    <row r="16" spans="1:2" ht="39" customHeight="1">
      <c r="A16" s="314" t="s">
        <v>283</v>
      </c>
      <c r="B16" s="319" t="s">
        <v>7</v>
      </c>
    </row>
    <row r="17" spans="1:2" ht="27.75" customHeight="1" thickBot="1">
      <c r="A17" s="315" t="s">
        <v>284</v>
      </c>
      <c r="B17" s="321" t="s">
        <v>7</v>
      </c>
    </row>
    <row r="18" spans="1:2" ht="19.5" customHeight="1" thickTop="1">
      <c r="A18" s="170"/>
      <c r="B18" s="309"/>
    </row>
  </sheetData>
  <sheetProtection sheet="1" objects="1" scenarios="1"/>
  <mergeCells count="1">
    <mergeCell ref="A1:B1"/>
  </mergeCells>
  <dataValidations count="16">
    <dataValidation allowBlank="1" showInputMessage="1" showErrorMessage="1" prompt="Enter the Father's name." sqref="B11"/>
    <dataValidation allowBlank="1" showInputMessage="1" showErrorMessage="1" prompt="Enter the Father's attorney's name." sqref="B12"/>
    <dataValidation allowBlank="1" showInputMessage="1" showErrorMessage="1" prompt="Enter the Mother's name." sqref="B13"/>
    <dataValidation allowBlank="1" showInputMessage="1" showErrorMessage="1" prompt="Enter the Mother's attorney's name." sqref="B14"/>
    <dataValidation allowBlank="1" showInputMessage="1" showErrorMessage="1" prompt="Enter the name of the Other custodian if applicable." sqref="B15"/>
    <dataValidation allowBlank="1" showInputMessage="1" showErrorMessage="1" prompt="Enter the name of the Other custodian's attorney's name if applicable." sqref="B16"/>
    <dataValidation allowBlank="1" showInputMessage="1" showErrorMessage="1" prompt="Enter the OCSS State's attorney's name." sqref="B17"/>
    <dataValidation allowBlank="1" showInputMessage="1" showErrorMessage="1" promptTitle="Names and signature lines " prompt="The sheet is the third of five sheets within this document.  Use Tab key to navigate to the entry fields.  Entry fields are only in Column B and each fields has instructions for what to enter.  Use Control Page Down to go to next sheet." error="Press ESC key and then TAB to go to entry cells." sqref="A1:B1"/>
    <dataValidation allowBlank="1" showInputMessage="1" showErrorMessage="1" prompt="Enter who should begin payments." sqref="B3"/>
    <dataValidation allowBlank="1" showInputMessage="1" showErrorMessage="1" prompt="Enter the date the payments should begin." sqref="B4"/>
    <dataValidation allowBlank="1" showInputMessage="1" showErrorMessage="1" prompt="Were the guidelines followed?  Enter yes or no." sqref="B5"/>
    <dataValidation allowBlank="1" showInputMessage="1" showErrorMessage="1" prompt="Was there a deviation from the child support guidelines by Court-specific findings of Court supporting each deviation?  Enter yes or no." sqref="B6"/>
    <dataValidation allowBlank="1" showInputMessage="1" showErrorMessage="1" prompt="Enter deviation description line 1." sqref="B7"/>
    <dataValidation allowBlank="1" showInputMessage="1" showErrorMessage="1" prompt="Enter deviation description line 2." sqref="B8"/>
    <dataValidation allowBlank="1" showInputMessage="1" showErrorMessage="1" prompt="Enter deviation description line 3." sqref="B9"/>
    <dataValidation allowBlank="1" showInputMessage="1" showErrorMessage="1" prompt="Enter the date for this order." sqref="B10"/>
  </dataValidation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1"/>
  <dimension ref="A1:O130"/>
  <sheetViews>
    <sheetView workbookViewId="0" topLeftCell="A1">
      <selection activeCell="A1" sqref="A1"/>
    </sheetView>
  </sheetViews>
  <sheetFormatPr defaultColWidth="9.140625" defaultRowHeight="12.75"/>
  <cols>
    <col min="1" max="1" width="6.00390625" style="5" customWidth="1"/>
    <col min="2" max="2" width="42.7109375" style="5" customWidth="1"/>
    <col min="3" max="6" width="11.28125" style="5" customWidth="1"/>
    <col min="7" max="7" width="31.00390625" style="2" hidden="1" customWidth="1"/>
    <col min="8" max="8" width="11.57421875" style="2" hidden="1" customWidth="1"/>
    <col min="9" max="9" width="11.140625" style="2" hidden="1" customWidth="1"/>
    <col min="10" max="10" width="11.8515625" style="2" hidden="1" customWidth="1"/>
    <col min="11" max="11" width="0" style="2" hidden="1" customWidth="1"/>
    <col min="12" max="14" width="9.140625" style="2" customWidth="1"/>
    <col min="15" max="15" width="8.8515625" style="0" customWidth="1"/>
  </cols>
  <sheetData>
    <row r="1" spans="1:7" ht="25.5" customHeight="1">
      <c r="A1" s="362" t="str">
        <f>IF(G2="ADMINISTRATIVE REVIEW","OFFICE OF ADMINISTRATIVE HEARINGS: CHILD SUPPORT"&amp;(CHAR(10))&amp;"DEPARTMENT OF HUMAN SERVICES",G1)</f>
        <v>OFFICE OF ADMINISTRATIVE HEARINGS: CHILD SUPPORT
DEPARTMENT OF HUMAN SERVICES</v>
      </c>
      <c r="B1" s="1"/>
      <c r="C1" s="1"/>
      <c r="D1" s="1"/>
      <c r="E1" s="1"/>
      <c r="F1" s="1"/>
      <c r="G1" s="361" t="str">
        <f>IF('Legal Styling'!B3="","",IF('Legal Styling'!B3=" ","","IN THE DISTRICT COURT OF "&amp;'Legal Styling'!B3&amp;" COUNTY"))</f>
        <v>IN THE DISTRICT COURT OF Administrative Review COUNTY</v>
      </c>
    </row>
    <row r="2" spans="1:8" ht="12.75">
      <c r="A2" s="3" t="s">
        <v>0</v>
      </c>
      <c r="B2" s="1"/>
      <c r="C2" s="1"/>
      <c r="D2" s="1"/>
      <c r="E2" s="1"/>
      <c r="F2" s="1"/>
      <c r="G2" s="360" t="str">
        <f>'Legal Styling'!B3</f>
        <v>Administrative Review</v>
      </c>
      <c r="H2" s="4"/>
    </row>
    <row r="3" spans="5:10" ht="18" customHeight="1">
      <c r="E3" s="11" t="s">
        <v>7</v>
      </c>
      <c r="F3" s="11"/>
      <c r="G3" s="4"/>
      <c r="H3" s="6"/>
      <c r="I3" s="7"/>
      <c r="J3" s="7"/>
    </row>
    <row r="4" spans="1:10" ht="24.75" customHeight="1">
      <c r="A4" s="428" t="str">
        <f>'Legal Styling'!B4</f>
        <v> </v>
      </c>
      <c r="B4" s="428"/>
      <c r="C4" s="399" t="s">
        <v>1</v>
      </c>
      <c r="D4" s="399"/>
      <c r="E4" s="427" t="str">
        <f>'Legal Styling'!B9</f>
        <v> </v>
      </c>
      <c r="F4" s="428"/>
      <c r="H4" s="8"/>
      <c r="I4" s="9"/>
      <c r="J4" s="9"/>
    </row>
    <row r="5" spans="1:10" ht="24.75" customHeight="1">
      <c r="A5" s="429" t="str">
        <f>'Legal Styling'!B5</f>
        <v> </v>
      </c>
      <c r="B5" s="429"/>
      <c r="C5" s="430" t="s">
        <v>2</v>
      </c>
      <c r="D5" s="430"/>
      <c r="E5" s="431" t="str">
        <f>'Legal Styling'!B10</f>
        <v> </v>
      </c>
      <c r="F5" s="429"/>
      <c r="H5" s="8"/>
      <c r="I5" s="9" t="s">
        <v>7</v>
      </c>
      <c r="J5" s="9" t="s">
        <v>7</v>
      </c>
    </row>
    <row r="6" spans="1:10" ht="24.75" customHeight="1">
      <c r="A6" s="429" t="str">
        <f>'Legal Styling'!B6</f>
        <v> </v>
      </c>
      <c r="B6" s="429"/>
      <c r="C6" s="430" t="s">
        <v>72</v>
      </c>
      <c r="D6" s="399"/>
      <c r="E6" s="431" t="str">
        <f>'Legal Styling'!B11</f>
        <v> </v>
      </c>
      <c r="F6" s="429"/>
      <c r="H6" s="8"/>
      <c r="I6" s="9" t="s">
        <v>7</v>
      </c>
      <c r="J6" s="9" t="s">
        <v>7</v>
      </c>
    </row>
    <row r="7" spans="1:10" ht="24.75" customHeight="1">
      <c r="A7" s="429" t="str">
        <f>'Legal Styling'!B7</f>
        <v> </v>
      </c>
      <c r="B7" s="429"/>
      <c r="C7" s="430" t="s">
        <v>64</v>
      </c>
      <c r="D7" s="399"/>
      <c r="E7" s="432" t="s">
        <v>3</v>
      </c>
      <c r="F7" s="432"/>
      <c r="H7" s="8"/>
      <c r="I7" s="9" t="s">
        <v>7</v>
      </c>
      <c r="J7" s="9"/>
    </row>
    <row r="8" spans="1:9" ht="24.75" customHeight="1">
      <c r="A8" s="429" t="str">
        <f>'Legal Styling'!B8</f>
        <v> </v>
      </c>
      <c r="B8" s="429"/>
      <c r="C8" s="430" t="s">
        <v>64</v>
      </c>
      <c r="D8" s="399"/>
      <c r="E8" s="433"/>
      <c r="F8" s="433"/>
      <c r="I8" s="9" t="s">
        <v>7</v>
      </c>
    </row>
    <row r="9" spans="1:6" ht="39" customHeight="1" thickBot="1">
      <c r="A9" s="445" t="s">
        <v>4</v>
      </c>
      <c r="B9" s="445"/>
      <c r="C9" s="445"/>
      <c r="D9" s="445"/>
      <c r="E9" s="445"/>
      <c r="F9" s="445"/>
    </row>
    <row r="10" spans="1:6" ht="24" customHeight="1" hidden="1">
      <c r="A10" s="10"/>
      <c r="B10" s="11"/>
      <c r="C10" s="11" t="s">
        <v>5</v>
      </c>
      <c r="D10" s="11" t="s">
        <v>5</v>
      </c>
      <c r="E10" s="12" t="s">
        <v>3</v>
      </c>
      <c r="F10" s="12"/>
    </row>
    <row r="11" spans="3:6" ht="24" customHeight="1" hidden="1">
      <c r="C11" s="5" t="s">
        <v>6</v>
      </c>
      <c r="D11" s="5" t="s">
        <v>6</v>
      </c>
      <c r="E11" s="12" t="s">
        <v>3</v>
      </c>
      <c r="F11" s="12"/>
    </row>
    <row r="12" spans="4:6" ht="24" customHeight="1" hidden="1" thickBot="1">
      <c r="D12" s="5" t="s">
        <v>7</v>
      </c>
      <c r="E12" s="12" t="s">
        <v>3</v>
      </c>
      <c r="F12" s="12"/>
    </row>
    <row r="13" spans="1:8" ht="15" customHeight="1" thickTop="1">
      <c r="A13" s="450"/>
      <c r="B13" s="451"/>
      <c r="C13" s="452"/>
      <c r="D13" s="448">
        <f>IF(ISERROR(C14*1),"",IF(C14&gt;6,"Number of children exceeds"&amp;(CHAR(10))&amp;"Child Support Guideline Schedule."&amp;(CHAR(10))&amp;"See 43 O.S. § 119 (C).",""))</f>
      </c>
      <c r="E13" s="448"/>
      <c r="F13" s="449"/>
      <c r="H13" s="2" t="s">
        <v>7</v>
      </c>
    </row>
    <row r="14" spans="1:6" ht="21" customHeight="1">
      <c r="A14" s="13"/>
      <c r="B14" s="173" t="s">
        <v>55</v>
      </c>
      <c r="C14" s="276">
        <f>'Child Support Comp Entry'!B4</f>
        <v>0</v>
      </c>
      <c r="D14" s="435"/>
      <c r="E14" s="435"/>
      <c r="F14" s="436"/>
    </row>
    <row r="15" spans="1:9" ht="29.25" customHeight="1">
      <c r="A15" s="13"/>
      <c r="B15" s="14" t="s">
        <v>129</v>
      </c>
      <c r="C15" s="171">
        <f>IF(C38="Father","Father",IF(C38="Mother","Mother",""))</f>
      </c>
      <c r="D15" s="434">
        <f>IF(F18&gt;15000,"Combined income on Line 4 exceeds"&amp;(CHAR(10))&amp;"Child Support Guideline Schedule."&amp;(CHAR(10))&amp;"See 43 O.S. § 119 (B).","")</f>
      </c>
      <c r="E15" s="435"/>
      <c r="F15" s="436"/>
      <c r="G15" s="135" t="s">
        <v>7</v>
      </c>
      <c r="H15" s="2" t="s">
        <v>7</v>
      </c>
      <c r="I15" s="2" t="s">
        <v>7</v>
      </c>
    </row>
    <row r="16" spans="1:8" ht="0.75" customHeight="1" thickBot="1">
      <c r="A16" s="15"/>
      <c r="B16" s="16"/>
      <c r="C16" s="17"/>
      <c r="D16" s="437"/>
      <c r="E16" s="438"/>
      <c r="F16" s="439"/>
      <c r="H16" s="2" t="s">
        <v>7</v>
      </c>
    </row>
    <row r="17" spans="1:7" ht="19.5" customHeight="1" thickBot="1" thickTop="1">
      <c r="A17" s="164" t="s">
        <v>8</v>
      </c>
      <c r="B17" s="420" t="s">
        <v>9</v>
      </c>
      <c r="C17" s="421"/>
      <c r="D17" s="204" t="s">
        <v>5</v>
      </c>
      <c r="E17" s="204" t="s">
        <v>6</v>
      </c>
      <c r="F17" s="205" t="s">
        <v>10</v>
      </c>
      <c r="G17" s="147"/>
    </row>
    <row r="18" spans="1:9" ht="44.25" customHeight="1" thickTop="1">
      <c r="A18" s="181">
        <v>1</v>
      </c>
      <c r="B18" s="446" t="s">
        <v>100</v>
      </c>
      <c r="C18" s="447"/>
      <c r="D18" s="277">
        <f>'Child Support Comp Entry'!C5</f>
        <v>0</v>
      </c>
      <c r="E18" s="277">
        <f>'Child Support Comp Entry'!D5</f>
        <v>0</v>
      </c>
      <c r="F18" s="206">
        <f>(SUM(D18:E18))</f>
        <v>0</v>
      </c>
      <c r="I18" s="2" t="s">
        <v>7</v>
      </c>
    </row>
    <row r="19" spans="1:9" ht="41.25" customHeight="1">
      <c r="A19" s="278"/>
      <c r="B19" s="405" t="s">
        <v>101</v>
      </c>
      <c r="C19" s="406"/>
      <c r="D19" s="279">
        <f>'Child Support Comp Entry'!C6</f>
        <v>0</v>
      </c>
      <c r="E19" s="279">
        <f>'Child Support Comp Entry'!D6</f>
        <v>0</v>
      </c>
      <c r="F19" s="453"/>
      <c r="G19" s="148" t="s">
        <v>7</v>
      </c>
      <c r="I19" s="2" t="s">
        <v>7</v>
      </c>
    </row>
    <row r="20" spans="1:7" ht="40.5" customHeight="1">
      <c r="A20" s="278"/>
      <c r="B20" s="405" t="s">
        <v>99</v>
      </c>
      <c r="C20" s="406"/>
      <c r="D20" s="21">
        <f>IF(ISERROR(D19*0.0765),0,ROUND(D19*0.0765,2))</f>
        <v>0</v>
      </c>
      <c r="E20" s="21">
        <f>IF(ISERROR(E19*0.0765),0,ROUND(E19*0.0765,2))</f>
        <v>0</v>
      </c>
      <c r="F20" s="454"/>
      <c r="G20" s="147"/>
    </row>
    <row r="21" spans="1:9" ht="40.5" customHeight="1">
      <c r="A21" s="280">
        <v>2</v>
      </c>
      <c r="B21" s="392" t="s">
        <v>102</v>
      </c>
      <c r="C21" s="406"/>
      <c r="D21" s="21">
        <f>IF(ISERROR(D18-D20),0,D18-D20)</f>
        <v>0</v>
      </c>
      <c r="E21" s="21">
        <f>IF(ISERROR(E18-E20),0,E18-E20)</f>
        <v>0</v>
      </c>
      <c r="F21" s="454"/>
      <c r="G21" s="147" t="s">
        <v>7</v>
      </c>
      <c r="H21" s="225"/>
      <c r="I21" s="225"/>
    </row>
    <row r="22" spans="1:9" ht="45" customHeight="1">
      <c r="A22" s="26"/>
      <c r="B22" s="405" t="s">
        <v>135</v>
      </c>
      <c r="C22" s="406"/>
      <c r="D22" s="279">
        <f>'Child Support Comp Entry'!C9</f>
        <v>0</v>
      </c>
      <c r="E22" s="279">
        <f>'Child Support Comp Entry'!D9</f>
        <v>0</v>
      </c>
      <c r="F22" s="454"/>
      <c r="G22" s="147"/>
      <c r="H22" s="2">
        <f>IF(ISNUMBER(D22),D21+D22,D21)</f>
        <v>0</v>
      </c>
      <c r="I22" s="2">
        <f>IF(ISNUMBER(E22),E21+E22,E21)</f>
        <v>0</v>
      </c>
    </row>
    <row r="23" spans="1:9" ht="39" customHeight="1">
      <c r="A23" s="411" t="s">
        <v>7</v>
      </c>
      <c r="B23" s="440" t="s">
        <v>116</v>
      </c>
      <c r="C23" s="441"/>
      <c r="D23" s="279">
        <f>'Child Support Comp Entry'!C10</f>
        <v>0</v>
      </c>
      <c r="E23" s="279">
        <f>'Child Support Comp Entry'!D10</f>
        <v>0</v>
      </c>
      <c r="F23" s="454"/>
      <c r="G23" s="147"/>
      <c r="H23" s="2">
        <f aca="true" t="shared" si="0" ref="H23:I25">IF(ISNUMBER(D23),D23,0)</f>
        <v>0</v>
      </c>
      <c r="I23" s="2">
        <f t="shared" si="0"/>
        <v>0</v>
      </c>
    </row>
    <row r="24" spans="1:10" ht="39" customHeight="1">
      <c r="A24" s="412"/>
      <c r="B24" s="405" t="s">
        <v>95</v>
      </c>
      <c r="C24" s="441"/>
      <c r="D24" s="279">
        <f>'Child Support Comp Entry'!C11</f>
        <v>0</v>
      </c>
      <c r="E24" s="279">
        <f>'Child Support Comp Entry'!D11</f>
        <v>0</v>
      </c>
      <c r="F24" s="454"/>
      <c r="G24" s="147"/>
      <c r="H24" s="2">
        <f t="shared" si="0"/>
        <v>0</v>
      </c>
      <c r="I24" s="2">
        <f t="shared" si="0"/>
        <v>0</v>
      </c>
      <c r="J24" s="2" t="s">
        <v>7</v>
      </c>
    </row>
    <row r="25" spans="1:10" ht="39" customHeight="1">
      <c r="A25" s="413"/>
      <c r="B25" s="440" t="s">
        <v>147</v>
      </c>
      <c r="C25" s="441"/>
      <c r="D25" s="279">
        <f>'Child Support Comp Entry'!C12</f>
        <v>0</v>
      </c>
      <c r="E25" s="279">
        <f>'Child Support Comp Entry'!D12</f>
        <v>0</v>
      </c>
      <c r="F25" s="455"/>
      <c r="G25" s="147"/>
      <c r="H25" s="2">
        <f t="shared" si="0"/>
        <v>0</v>
      </c>
      <c r="I25" s="2">
        <f t="shared" si="0"/>
        <v>0</v>
      </c>
      <c r="J25"/>
    </row>
    <row r="26" spans="1:12" ht="39" customHeight="1">
      <c r="A26" s="407"/>
      <c r="B26" s="392" t="s">
        <v>96</v>
      </c>
      <c r="C26" s="406"/>
      <c r="D26" s="281">
        <f>'Child Support Comp Entry'!C13</f>
        <v>0</v>
      </c>
      <c r="E26" s="281">
        <f>'Child Support Comp Entry'!D13</f>
        <v>0</v>
      </c>
      <c r="F26" s="418"/>
      <c r="G26" s="148" t="s">
        <v>7</v>
      </c>
      <c r="H26" s="142">
        <f>IF(ISERROR(ROUND(VLOOKUP(D21,'CS Schedule'!A9:H298,MIN(D26+2,8),TRUE),0)),0,ROUND(VLOOKUP(D21,'CS Schedule'!A9:H298,MIN(D26+2,8),TRUE),0))</f>
        <v>0</v>
      </c>
      <c r="I26" s="142">
        <f>IF(ISERROR(ROUND(VLOOKUP(E21,'CS Schedule'!A9:H298,MIN(E26+2,8),TRUE),0)),0,ROUND(VLOOKUP(E21,'CS Schedule'!A9:H298,MIN(E26+2,8),TRUE),0))</f>
        <v>0</v>
      </c>
      <c r="K26" s="135" t="s">
        <v>7</v>
      </c>
      <c r="L26" s="135" t="s">
        <v>7</v>
      </c>
    </row>
    <row r="27" spans="1:12" ht="69" customHeight="1">
      <c r="A27" s="408"/>
      <c r="B27" s="405" t="s">
        <v>117</v>
      </c>
      <c r="C27" s="406"/>
      <c r="D27" s="21">
        <f>IF(D26&lt;&gt;"",H26*0.75,"")</f>
        <v>0</v>
      </c>
      <c r="E27" s="21">
        <f>IF(E26&lt;&gt;"",I26*0.75,"")</f>
        <v>0</v>
      </c>
      <c r="F27" s="419"/>
      <c r="G27" s="148" t="s">
        <v>7</v>
      </c>
      <c r="H27" s="2" t="s">
        <v>7</v>
      </c>
      <c r="K27" s="137"/>
      <c r="L27" s="137"/>
    </row>
    <row r="28" spans="1:9" ht="45.75" customHeight="1">
      <c r="A28" s="19">
        <v>3</v>
      </c>
      <c r="B28" s="409" t="s">
        <v>137</v>
      </c>
      <c r="C28" s="410"/>
      <c r="D28" s="21">
        <f>IF(ISNUMBER(D21),H22-(H23+H24+H25+D27),0)</f>
        <v>0</v>
      </c>
      <c r="E28" s="21">
        <f>IF(ISNUMBER(E21),I22-(I23+I24+I25+E27),0)</f>
        <v>0</v>
      </c>
      <c r="F28" s="155">
        <f>IF(ISERROR(D28+E28),"",D28+E28)</f>
        <v>0</v>
      </c>
      <c r="G28" s="148" t="s">
        <v>7</v>
      </c>
      <c r="I28" s="2" t="s">
        <v>7</v>
      </c>
    </row>
    <row r="29" spans="1:7" ht="48" customHeight="1">
      <c r="A29" s="19">
        <v>4</v>
      </c>
      <c r="B29" s="409" t="s">
        <v>52</v>
      </c>
      <c r="C29" s="410"/>
      <c r="D29" s="22">
        <f>IF(ISERROR(D28/$F28),0,ROUND(D28/$F28,7))</f>
        <v>0</v>
      </c>
      <c r="E29" s="22">
        <f>IF(ISERROR(E28/$F28),0,ROUND(E28/$F28,7))</f>
        <v>0</v>
      </c>
      <c r="F29" s="185">
        <v>1</v>
      </c>
      <c r="G29" s="147"/>
    </row>
    <row r="30" spans="1:6" ht="68.25" customHeight="1" thickBot="1">
      <c r="A30" s="23">
        <v>5</v>
      </c>
      <c r="B30" s="414" t="s">
        <v>138</v>
      </c>
      <c r="C30" s="415"/>
      <c r="D30" s="24">
        <f>ROUND(D29*$F30,2)</f>
        <v>0</v>
      </c>
      <c r="E30" s="24">
        <f>ROUND(E29*$F30,2)</f>
        <v>0</v>
      </c>
      <c r="F30" s="186">
        <f>IF(ISERROR(ROUND(VLOOKUP(F28,'CS Schedule'!A9:H298,MIN(C14+2,8),TRUE),0)),0,ROUND(VLOOKUP(F28,'CS Schedule'!A9:H298,MIN(C14+2,8),TRUE),0))</f>
        <v>0</v>
      </c>
    </row>
    <row r="31" spans="1:8" ht="19.5" customHeight="1" thickBot="1" thickTop="1">
      <c r="A31" s="164" t="s">
        <v>11</v>
      </c>
      <c r="B31" s="420" t="s">
        <v>21</v>
      </c>
      <c r="C31" s="421"/>
      <c r="D31" s="204" t="s">
        <v>5</v>
      </c>
      <c r="E31" s="204" t="s">
        <v>6</v>
      </c>
      <c r="F31" s="205" t="s">
        <v>10</v>
      </c>
      <c r="H31" s="139"/>
    </row>
    <row r="32" spans="1:11" ht="41.25" customHeight="1" thickTop="1">
      <c r="A32" s="181">
        <v>6</v>
      </c>
      <c r="B32" s="282" t="s">
        <v>65</v>
      </c>
      <c r="C32" s="201">
        <f>IF(SUM(D32:E32)&gt;0,IF(SUM(D32:E32)=365,"","Combined must = 365 &gt;&gt;"),"")</f>
      </c>
      <c r="D32" s="283">
        <f>'Child Support Comp Entry'!C19</f>
        <v>0</v>
      </c>
      <c r="E32" s="202">
        <f>IF(ISNUMBER(D32),ROUND(365-D32,2),"")</f>
        <v>365</v>
      </c>
      <c r="F32" s="203">
        <f>MAX(ROUND(SUM(D32),0),0)+MAX(ROUND(SUM(E32),0),0)</f>
        <v>365</v>
      </c>
      <c r="G32" s="172" t="str">
        <f>IF(ISNUMBER(D32),IF(D32=182,1.5,IF(D32=183,1.5,IF(D32&gt;E32,"father","mother"))),"")</f>
        <v>mother</v>
      </c>
      <c r="H32" s="457" t="s">
        <v>7</v>
      </c>
      <c r="I32" s="457"/>
      <c r="J32" s="457"/>
      <c r="K32" s="457"/>
    </row>
    <row r="33" spans="1:8" ht="43.5" customHeight="1">
      <c r="A33" s="19" t="s">
        <v>7</v>
      </c>
      <c r="B33" s="458" t="s">
        <v>77</v>
      </c>
      <c r="C33" s="459"/>
      <c r="D33" s="22">
        <f>IF(D32&lt;0,0,IF(D32=182,0.5,IF(D32=183,0.5,IF(SUM(D32:E32)=365,ROUND((ROUND(SUM(D32),0))/F32,7),0))))</f>
        <v>0</v>
      </c>
      <c r="E33" s="22">
        <f>IF(E32&lt;0,0,IF(E32=182,0.5,IF(E32=183,0.5,IF(SUM(D32:E32)=365,ROUND((ROUND(SUM(E32),0))/F32,7),0))))</f>
        <v>1</v>
      </c>
      <c r="F33" s="185">
        <f>IF(SUM(D33:E33)&gt;0,SUM(D33:E33),"")</f>
        <v>1</v>
      </c>
      <c r="H33" s="2" t="s">
        <v>7</v>
      </c>
    </row>
    <row r="34" spans="1:13" ht="81" customHeight="1">
      <c r="A34" s="19" t="s">
        <v>7</v>
      </c>
      <c r="B34" s="138" t="s">
        <v>118</v>
      </c>
      <c r="C34" s="158">
        <f>IF(ISNUMBER(G32),G32,IF(G32="","",IF(G32="mother",IF(D32&gt;143,1.5,IF(D32&gt;131,1.75,IF(D32&gt;120,2,""))),IF(E32&gt;143,1.5,IF(E32&gt;131,1.75,IF(E32&gt;120,2,""))))))</f>
      </c>
      <c r="D34" s="462" t="s">
        <v>73</v>
      </c>
      <c r="E34" s="463"/>
      <c r="F34" s="155">
        <f>IF(ISERROR(C34*F30),"",C34*F30)</f>
      </c>
      <c r="G34" s="2" t="s">
        <v>7</v>
      </c>
      <c r="H34"/>
      <c r="I34" s="170" t="s">
        <v>7</v>
      </c>
      <c r="J34" s="2" t="s">
        <v>7</v>
      </c>
      <c r="K34" s="136" t="s">
        <v>7</v>
      </c>
      <c r="L34" s="136"/>
      <c r="M34" s="136"/>
    </row>
    <row r="35" spans="1:9" ht="48" customHeight="1">
      <c r="A35" s="19" t="s">
        <v>7</v>
      </c>
      <c r="B35" s="458" t="s">
        <v>103</v>
      </c>
      <c r="C35" s="459"/>
      <c r="D35" s="21">
        <f>IF(ISERROR(D29*F34),"",ROUND(D29*F34,2))</f>
      </c>
      <c r="E35" s="21">
        <f>IF(ISERROR(E29*F34),"",ROUND(E29*F34,2))</f>
      </c>
      <c r="F35" s="460"/>
      <c r="H35"/>
      <c r="I35"/>
    </row>
    <row r="36" spans="1:9" ht="50.25" customHeight="1">
      <c r="A36" s="19" t="s">
        <v>7</v>
      </c>
      <c r="B36" s="458" t="s">
        <v>104</v>
      </c>
      <c r="C36" s="459"/>
      <c r="D36" s="21">
        <f>IF(D35&lt;&gt;"",ROUND(E33*D35,2),"")</f>
      </c>
      <c r="E36" s="21">
        <f>IF(E35&lt;&gt;"",ROUND(D33*E35,2),"")</f>
      </c>
      <c r="F36" s="461"/>
      <c r="G36" s="2" t="s">
        <v>7</v>
      </c>
      <c r="H36"/>
      <c r="I36"/>
    </row>
    <row r="37" spans="1:9" ht="77.25" customHeight="1" thickBot="1">
      <c r="A37" s="26">
        <v>7</v>
      </c>
      <c r="B37" s="414" t="s">
        <v>119</v>
      </c>
      <c r="C37" s="415"/>
      <c r="D37" s="157">
        <f>IF(ISNUMBER(D32),IF(D32&gt;205,0,IF(ISERROR(D36*1),D30,IF(D36&gt;E36,IF(ROUND(D36-E36,2)&gt;0,ROUND(D36-E36,2),0),0))),D30)</f>
        <v>0</v>
      </c>
      <c r="E37" s="157">
        <f>IF(ISNUMBER(E32),IF(E32&gt;205,0,IF(ISERROR(E36*1),E30,IF(E36&gt;D36,IF(ROUND(E36-D36,2)&gt;0,ROUND(E36-D36,2),0),0))),E30)</f>
        <v>0</v>
      </c>
      <c r="F37" s="461"/>
      <c r="G37" s="135" t="s">
        <v>7</v>
      </c>
      <c r="H37"/>
      <c r="I37"/>
    </row>
    <row r="38" spans="1:9" ht="32.25" customHeight="1" thickBot="1" thickTop="1">
      <c r="A38" s="164" t="s">
        <v>51</v>
      </c>
      <c r="B38" s="220" t="s">
        <v>130</v>
      </c>
      <c r="C38" s="284" t="str">
        <f>PROPER('Child Support Comp Entry'!B25)</f>
        <v> </v>
      </c>
      <c r="D38" s="442"/>
      <c r="E38" s="443"/>
      <c r="F38" s="187"/>
      <c r="H38" s="2" t="s">
        <v>7</v>
      </c>
      <c r="I38" s="2" t="s">
        <v>7</v>
      </c>
    </row>
    <row r="39" spans="1:6" ht="27" thickBot="1" thickTop="1">
      <c r="A39" s="164" t="s">
        <v>13</v>
      </c>
      <c r="B39" s="420" t="s">
        <v>14</v>
      </c>
      <c r="C39" s="421"/>
      <c r="D39" s="204" t="s">
        <v>5</v>
      </c>
      <c r="E39" s="204" t="s">
        <v>6</v>
      </c>
      <c r="F39" s="200" t="s">
        <v>74</v>
      </c>
    </row>
    <row r="40" spans="1:8" ht="42.75" customHeight="1" thickTop="1">
      <c r="A40" s="175">
        <v>8</v>
      </c>
      <c r="B40" s="416" t="s">
        <v>87</v>
      </c>
      <c r="C40" s="417"/>
      <c r="D40" s="285">
        <f>'Child Support Comp Entry'!C27</f>
        <v>0</v>
      </c>
      <c r="E40" s="285">
        <f>'Child Support Comp Entry'!D27</f>
        <v>0</v>
      </c>
      <c r="F40" s="302">
        <f>'Child Support Comp Entry'!E27</f>
        <v>0</v>
      </c>
      <c r="G40" s="150">
        <f>SUM(D40:F40)</f>
        <v>0</v>
      </c>
      <c r="H40" s="2" t="s">
        <v>7</v>
      </c>
    </row>
    <row r="41" spans="1:7" ht="54" customHeight="1" thickBot="1">
      <c r="A41" s="19">
        <v>9</v>
      </c>
      <c r="B41" s="409" t="s">
        <v>105</v>
      </c>
      <c r="C41" s="410"/>
      <c r="D41" s="21">
        <f>IF(ISERROR(G40*D29),0,ROUND((G40*D29),2))</f>
        <v>0</v>
      </c>
      <c r="E41" s="21">
        <f>IF(ISERROR(G40*E29),0,ROUND((G40*E29),2))</f>
        <v>0</v>
      </c>
      <c r="F41" s="189">
        <f>IF(G40&gt;0,IF(C38="mother","",IF(C38="father","","ERROR, Enter Obligor in Line C")),"")</f>
      </c>
      <c r="G41" s="2" t="s">
        <v>7</v>
      </c>
    </row>
    <row r="42" spans="1:6" ht="45.75" customHeight="1" thickTop="1">
      <c r="A42" s="286">
        <v>10</v>
      </c>
      <c r="B42" s="422" t="s">
        <v>78</v>
      </c>
      <c r="C42" s="391"/>
      <c r="D42" s="287" t="str">
        <f>'Child Support Comp Entry'!C29</f>
        <v> </v>
      </c>
      <c r="E42" s="288" t="str">
        <f>'Child Support Comp Entry'!D29</f>
        <v> </v>
      </c>
      <c r="F42" s="189">
        <f>IF(SUM(D42:E42)&gt;0,IF(C38="mother","",IF(C38="father","","Enter Obligor in Line C")),"")</f>
      </c>
    </row>
    <row r="43" spans="1:6" ht="30" customHeight="1">
      <c r="A43" s="407" t="s">
        <v>7</v>
      </c>
      <c r="B43" s="405" t="s">
        <v>106</v>
      </c>
      <c r="C43" s="406"/>
      <c r="D43" s="289" t="str">
        <f>'Child Support Comp Entry'!C30</f>
        <v> </v>
      </c>
      <c r="E43" s="290" t="str">
        <f>'Child Support Comp Entry'!D30</f>
        <v> </v>
      </c>
      <c r="F43" s="189" t="s">
        <v>7</v>
      </c>
    </row>
    <row r="44" spans="1:6" ht="33" customHeight="1">
      <c r="A44" s="412"/>
      <c r="B44" s="405" t="s">
        <v>107</v>
      </c>
      <c r="C44" s="406"/>
      <c r="D44" s="335" t="str">
        <f>'Child Support Comp Entry'!C31</f>
        <v> </v>
      </c>
      <c r="E44" s="336" t="str">
        <f>'Child Support Comp Entry'!D31</f>
        <v> </v>
      </c>
      <c r="F44" s="291"/>
    </row>
    <row r="45" spans="1:8" ht="42" customHeight="1">
      <c r="A45" s="412"/>
      <c r="B45" s="405" t="s">
        <v>108</v>
      </c>
      <c r="C45" s="406"/>
      <c r="D45" s="144">
        <f>IF(ISNUMBER(D43),IF(C15="father",0,IF(D43&gt;0,E37,"")),0)</f>
        <v>0</v>
      </c>
      <c r="E45" s="144">
        <f>IF(ISNUMBER(E43),IF(C15="mother",0,IF(E43&gt;0,D37,"")),0)</f>
        <v>0</v>
      </c>
      <c r="F45" s="403">
        <f>IF(H47="*","Use Line 8 for obligee. Enter amt paid to the provider","")</f>
      </c>
      <c r="G45" s="2" t="s">
        <v>7</v>
      </c>
      <c r="H45"/>
    </row>
    <row r="46" spans="1:8" ht="37.5" customHeight="1">
      <c r="A46" s="412"/>
      <c r="B46" s="405" t="s">
        <v>109</v>
      </c>
      <c r="C46" s="406"/>
      <c r="D46" s="144">
        <f>IF(ISNUMBER(D44),IF(ISERROR(D44+D45),"",D44+D45),"")</f>
      </c>
      <c r="E46" s="144">
        <f>IF(ISNUMBER(E44),IF(ISERROR(E44+E45),"",E44+E45),"")</f>
      </c>
      <c r="F46" s="404"/>
      <c r="H46"/>
    </row>
    <row r="47" spans="1:8" ht="39.75" customHeight="1">
      <c r="A47" s="412"/>
      <c r="B47" s="405" t="s">
        <v>139</v>
      </c>
      <c r="C47" s="406"/>
      <c r="D47" s="143">
        <f>IF(ISERROR(VLOOKUP(D46,'ChildCare Schedule'!B8:I45,MIN(D42+4,8),TRUE)),"",(VLOOKUP(D46,'ChildCare Schedule'!B8:I45,MIN(D42+4,8),TRUE)))</f>
      </c>
      <c r="E47" s="143">
        <f>IF(ISERROR(VLOOKUP(E46,'ChildCare Schedule'!B8:I45,MIN(E42+4,8),TRUE)),"",(VLOOKUP(E46,'ChildCare Schedule'!B8:I45,MIN(E42+4,8),TRUE)))</f>
      </c>
      <c r="F47" s="292">
        <f>IF(H47="*","&lt;&lt; Obligee pays total cost.","")</f>
      </c>
      <c r="H47" s="2">
        <f>IF(C38="Father",IF(D47="*","*",""),IF(E47="*","*",""))</f>
      </c>
    </row>
    <row r="48" spans="1:8" ht="32.25" customHeight="1">
      <c r="A48" s="413"/>
      <c r="B48" s="392" t="s">
        <v>110</v>
      </c>
      <c r="C48" s="406"/>
      <c r="D48" s="25">
        <f>IF(ISERROR(($D47*$D43)/$D42),0,IF($D47="*",0,ROUND(($D47*$D43)/$D42,2)))</f>
        <v>0</v>
      </c>
      <c r="E48" s="25">
        <f>IF(ISERROR(($E47*$E43)/$E42),0,IF($E47="*",0,ROUND(($E47*$E43)/$E42,2)))</f>
        <v>0</v>
      </c>
      <c r="F48" s="291"/>
      <c r="G48" s="2" t="s">
        <v>7</v>
      </c>
      <c r="H48" s="2" t="s">
        <v>7</v>
      </c>
    </row>
    <row r="49" spans="1:6" ht="55.5" customHeight="1">
      <c r="A49" s="293">
        <v>11</v>
      </c>
      <c r="B49" s="409" t="s">
        <v>111</v>
      </c>
      <c r="C49" s="410"/>
      <c r="D49" s="21">
        <f>IF(ISERROR(SUM(D48+E48)*D29),0,SUM(D48+E48)*D29)</f>
        <v>0</v>
      </c>
      <c r="E49" s="21">
        <f>IF(ISERROR(SUM(E48+D48)*E29),0,SUM(E48+D48)*E29)</f>
        <v>0</v>
      </c>
      <c r="F49" s="291"/>
    </row>
    <row r="50" spans="1:14" s="28" customFormat="1" ht="43.5" customHeight="1" thickBot="1">
      <c r="A50" s="23">
        <v>12</v>
      </c>
      <c r="B50" s="414" t="s">
        <v>120</v>
      </c>
      <c r="C50" s="415"/>
      <c r="D50" s="24">
        <f>IF(ISERROR(D49+D41-D40-D48),0,(D49+D41-D40-D48))</f>
        <v>0</v>
      </c>
      <c r="E50" s="24">
        <f>IF(ISERROR(E49+E41-E40-E48),0,(E49+E41-E40-E48))</f>
        <v>0</v>
      </c>
      <c r="F50" s="294" t="s">
        <v>7</v>
      </c>
      <c r="G50" s="146" t="s">
        <v>7</v>
      </c>
      <c r="H50" s="27" t="s">
        <v>7</v>
      </c>
      <c r="I50" s="27"/>
      <c r="J50" s="27"/>
      <c r="K50" s="27"/>
      <c r="L50" s="27"/>
      <c r="M50" s="27"/>
      <c r="N50" s="27"/>
    </row>
    <row r="51" spans="1:8" ht="30.75" customHeight="1" thickBot="1" thickTop="1">
      <c r="A51" s="164" t="s">
        <v>15</v>
      </c>
      <c r="B51" s="420" t="s">
        <v>12</v>
      </c>
      <c r="C51" s="444"/>
      <c r="D51" s="204" t="s">
        <v>5</v>
      </c>
      <c r="E51" s="204" t="s">
        <v>6</v>
      </c>
      <c r="F51" s="200" t="s">
        <v>74</v>
      </c>
      <c r="H51" s="2" t="s">
        <v>7</v>
      </c>
    </row>
    <row r="52" spans="1:8" ht="77.25" customHeight="1" thickTop="1">
      <c r="A52" s="181">
        <v>13</v>
      </c>
      <c r="B52" s="383" t="s">
        <v>84</v>
      </c>
      <c r="C52" s="384"/>
      <c r="D52" s="277">
        <f>'Child Support Comp Entry'!C38</f>
        <v>0</v>
      </c>
      <c r="E52" s="277">
        <f>'Child Support Comp Entry'!D38</f>
        <v>0</v>
      </c>
      <c r="F52" s="326">
        <f>'Child Support Comp Entry'!E38</f>
        <v>0</v>
      </c>
      <c r="G52" s="2" t="s">
        <v>7</v>
      </c>
      <c r="H52" s="150">
        <f>SUM(D52:F52)</f>
        <v>0</v>
      </c>
    </row>
    <row r="53" spans="1:8" ht="41.25" customHeight="1">
      <c r="A53" s="19">
        <v>14</v>
      </c>
      <c r="B53" s="409" t="s">
        <v>112</v>
      </c>
      <c r="C53" s="456"/>
      <c r="D53" s="21">
        <f>IF(ISNUMBER(H52),ROUND(H52*D29,2),0)</f>
        <v>0</v>
      </c>
      <c r="E53" s="21">
        <f>IF(ISNUMBER(H52),ROUND(H52*E29,2),0)</f>
        <v>0</v>
      </c>
      <c r="F53" s="196">
        <f>IF(H52&gt;0,IF(C38="mother","",IF(C38="father","","Enter Obligor in Line C")),"")</f>
      </c>
      <c r="G53" s="149" t="s">
        <v>7</v>
      </c>
      <c r="H53" s="2" t="s">
        <v>7</v>
      </c>
    </row>
    <row r="54" spans="1:15" ht="35.25" customHeight="1" thickBot="1">
      <c r="A54" s="23">
        <v>15</v>
      </c>
      <c r="B54" s="414" t="s">
        <v>121</v>
      </c>
      <c r="C54" s="415"/>
      <c r="D54" s="24">
        <f>IF(ISERROR(D53-D52),0,D53-D52)</f>
        <v>0</v>
      </c>
      <c r="E54" s="24">
        <f>IF(ISERROR(E53-E52),0,E53-E52)</f>
        <v>0</v>
      </c>
      <c r="F54" s="195" t="s">
        <v>7</v>
      </c>
      <c r="G54" s="2" t="s">
        <v>7</v>
      </c>
      <c r="H54" s="2" t="s">
        <v>7</v>
      </c>
      <c r="J54" s="2" t="s">
        <v>7</v>
      </c>
      <c r="L54"/>
      <c r="M54"/>
      <c r="N54"/>
      <c r="O54" t="s">
        <v>7</v>
      </c>
    </row>
    <row r="55" spans="1:6" ht="28.5" customHeight="1" thickBot="1" thickTop="1">
      <c r="A55" s="18" t="s">
        <v>67</v>
      </c>
      <c r="B55" s="464" t="s">
        <v>16</v>
      </c>
      <c r="C55" s="465"/>
      <c r="D55" s="218" t="s">
        <v>5</v>
      </c>
      <c r="E55" s="218" t="s">
        <v>6</v>
      </c>
      <c r="F55" s="191" t="s">
        <v>74</v>
      </c>
    </row>
    <row r="56" spans="1:8" ht="45" customHeight="1" thickTop="1">
      <c r="A56" s="160">
        <v>16</v>
      </c>
      <c r="B56" s="470" t="s">
        <v>85</v>
      </c>
      <c r="C56" s="471"/>
      <c r="D56" s="295">
        <f>'Child Support Comp Entry'!C41</f>
        <v>0</v>
      </c>
      <c r="E56" s="295">
        <f>'Child Support Comp Entry'!D41</f>
        <v>0</v>
      </c>
      <c r="F56" s="302">
        <f>'Child Support Comp Entry'!E41</f>
        <v>0</v>
      </c>
      <c r="G56" s="2" t="s">
        <v>7</v>
      </c>
      <c r="H56" s="150">
        <f>SUM(D56:F56)</f>
        <v>0</v>
      </c>
    </row>
    <row r="57" spans="1:15" ht="36.75" customHeight="1">
      <c r="A57" s="19" t="s">
        <v>7</v>
      </c>
      <c r="B57" s="440" t="s">
        <v>122</v>
      </c>
      <c r="C57" s="410"/>
      <c r="D57" s="25">
        <f>IF(ISERROR((H56)*D29),0,ROUND((H56)*D29,2))</f>
        <v>0</v>
      </c>
      <c r="E57" s="25">
        <f>IF(ISERROR((H56)*E29),0,ROUND((H56)*E29,2))</f>
        <v>0</v>
      </c>
      <c r="F57" s="189">
        <f>IF(H56&gt;0,IF(C15="mother","",IF(C15="father","","Enter Obligor in Line C")),IF(H56&gt;0,IF(C15="mother","",IF(C15="father","","Enter Obligor in Line C")),""))</f>
      </c>
      <c r="G57" s="2" t="s">
        <v>7</v>
      </c>
      <c r="H57" s="2" t="s">
        <v>7</v>
      </c>
      <c r="L57"/>
      <c r="M57"/>
      <c r="N57"/>
      <c r="O57" t="s">
        <v>7</v>
      </c>
    </row>
    <row r="58" spans="1:14" ht="42.75" customHeight="1">
      <c r="A58" s="26" t="s">
        <v>7</v>
      </c>
      <c r="B58" s="468" t="s">
        <v>123</v>
      </c>
      <c r="C58" s="469"/>
      <c r="D58" s="25">
        <f>IF(ISERROR(D57-D56),0,ROUND(D57-D56,2))</f>
        <v>0</v>
      </c>
      <c r="E58" s="25">
        <f>IF(ISERROR(E57-E56),0,ROUND(E57-E56,2))</f>
        <v>0</v>
      </c>
      <c r="F58" s="189"/>
      <c r="L58"/>
      <c r="M58"/>
      <c r="N58"/>
    </row>
    <row r="59" spans="1:8" ht="21" customHeight="1">
      <c r="A59" s="161">
        <v>17</v>
      </c>
      <c r="B59" s="162" t="s">
        <v>75</v>
      </c>
      <c r="C59" s="163"/>
      <c r="D59" s="279">
        <f>'Child Support Comp Entry'!C44</f>
        <v>0</v>
      </c>
      <c r="E59" s="279">
        <f>'Child Support Comp Entry'!D44</f>
        <v>0</v>
      </c>
      <c r="F59" s="303">
        <f>'Child Support Comp Entry'!E44</f>
        <v>0</v>
      </c>
      <c r="H59" s="150">
        <f>SUM(D59:F59)</f>
        <v>0</v>
      </c>
    </row>
    <row r="60" spans="1:15" ht="36.75" customHeight="1">
      <c r="A60" s="19" t="s">
        <v>7</v>
      </c>
      <c r="B60" s="440" t="s">
        <v>125</v>
      </c>
      <c r="C60" s="456"/>
      <c r="D60" s="25">
        <f>IF(ISERROR(H59*D29),0,ROUND(H59*D29,2))</f>
        <v>0</v>
      </c>
      <c r="E60" s="25">
        <f>IF(ISERROR(H59*E29),0,ROUND(H59*E29,2))</f>
        <v>0</v>
      </c>
      <c r="F60" s="189">
        <f>IF(H59&gt;0,IF(C15="mother","",IF(C15="father","","Enter Obligor in Line C")),IF(H59&gt;0,IF(C15="mother","",IF(C15="father","","Enter Obligor in Line C")),""))</f>
      </c>
      <c r="G60" s="2" t="s">
        <v>7</v>
      </c>
      <c r="H60" s="2" t="s">
        <v>7</v>
      </c>
      <c r="L60"/>
      <c r="M60"/>
      <c r="N60"/>
      <c r="O60" t="s">
        <v>7</v>
      </c>
    </row>
    <row r="61" spans="1:14" ht="42" customHeight="1" thickBot="1">
      <c r="A61" s="26" t="s">
        <v>7</v>
      </c>
      <c r="B61" s="468" t="s">
        <v>124</v>
      </c>
      <c r="C61" s="469"/>
      <c r="D61" s="25">
        <f>IF(ISERROR(D60-D59),0,ROUND(D60-D59,2))</f>
        <v>0</v>
      </c>
      <c r="E61" s="25">
        <f>IF(ISERROR(E60-E59),0,ROUND(E60-E59,2))</f>
        <v>0</v>
      </c>
      <c r="F61" s="189"/>
      <c r="L61"/>
      <c r="M61"/>
      <c r="N61"/>
    </row>
    <row r="62" spans="1:6" ht="15.75" customHeight="1" thickBot="1" thickTop="1">
      <c r="A62" s="164" t="s">
        <v>68</v>
      </c>
      <c r="B62" s="420" t="s">
        <v>66</v>
      </c>
      <c r="C62" s="421"/>
      <c r="D62" s="204" t="s">
        <v>5</v>
      </c>
      <c r="E62" s="204" t="s">
        <v>6</v>
      </c>
      <c r="F62" s="296"/>
    </row>
    <row r="63" spans="1:7" ht="56.25" customHeight="1" thickBot="1" thickTop="1">
      <c r="A63" s="166">
        <v>18</v>
      </c>
      <c r="B63" s="466" t="s">
        <v>126</v>
      </c>
      <c r="C63" s="467"/>
      <c r="D63" s="165">
        <f>IF(C15="father",(D37+D50+D54+D61),0)</f>
        <v>0</v>
      </c>
      <c r="E63" s="165">
        <f>IF(C15="mother",(E37+E50+E54+E61),0)</f>
        <v>0</v>
      </c>
      <c r="F63" s="297"/>
      <c r="G63" s="135" t="s">
        <v>7</v>
      </c>
    </row>
    <row r="64" spans="1:8" ht="39" customHeight="1" thickTop="1">
      <c r="A64" s="178">
        <v>19</v>
      </c>
      <c r="B64" s="372" t="s">
        <v>98</v>
      </c>
      <c r="C64" s="373"/>
      <c r="D64" s="179">
        <f>IF(C15="father",IF(ISNUMBER(D22),D22,0),"")</f>
      </c>
      <c r="E64" s="179">
        <f>IF(C15="mother",IF(ISNUMBER(E22),E22,0),"")</f>
      </c>
      <c r="F64" s="297"/>
      <c r="G64" s="2" t="s">
        <v>7</v>
      </c>
      <c r="H64" s="150" t="s">
        <v>7</v>
      </c>
    </row>
    <row r="65" spans="1:10" ht="48" customHeight="1" thickBot="1">
      <c r="A65" s="198">
        <v>20</v>
      </c>
      <c r="B65" s="472" t="s">
        <v>127</v>
      </c>
      <c r="C65" s="473"/>
      <c r="D65" s="24">
        <f>IF(C15="father",IF(ISERROR(D63-D64),0,ROUND(D63-D64,2)),0)</f>
        <v>0</v>
      </c>
      <c r="E65" s="24">
        <f>IF(C15="mother",IF(ISERROR(E63-E64),0,ROUND(E63-E64,2)),0)</f>
        <v>0</v>
      </c>
      <c r="F65" s="296"/>
      <c r="G65" s="135" t="s">
        <v>7</v>
      </c>
      <c r="J65" s="2" t="s">
        <v>7</v>
      </c>
    </row>
    <row r="66" spans="1:10" ht="14.25" thickBot="1" thickTop="1">
      <c r="A66" s="164" t="s">
        <v>69</v>
      </c>
      <c r="B66" s="420" t="s">
        <v>54</v>
      </c>
      <c r="C66" s="421"/>
      <c r="D66" s="218" t="s">
        <v>5</v>
      </c>
      <c r="E66" s="204" t="s">
        <v>6</v>
      </c>
      <c r="F66" s="205" t="s">
        <v>10</v>
      </c>
      <c r="I66" s="150" t="s">
        <v>7</v>
      </c>
      <c r="J66" s="168" t="s">
        <v>7</v>
      </c>
    </row>
    <row r="67" spans="1:10" ht="34.5" customHeight="1" thickTop="1">
      <c r="A67" s="175">
        <v>21</v>
      </c>
      <c r="B67" s="180" t="s">
        <v>113</v>
      </c>
      <c r="C67" s="298">
        <f>'Child Support Comp Entry'!B50</f>
        <v>0</v>
      </c>
      <c r="D67" s="208"/>
      <c r="E67" s="299"/>
      <c r="F67" s="297"/>
      <c r="G67" s="2" t="str">
        <f>IF(ISNUMBER(C67),IF(C67&gt;0,IF(C67&lt;8,C67,C67-7),"OUT"),"")</f>
        <v>OUT</v>
      </c>
      <c r="H67" s="2" t="str">
        <f>IF(ISNUMBER(C67),IF(C67&gt;0,IF(C67&lt;8,C67,C67-7),"OUT"),"")</f>
        <v>OUT</v>
      </c>
      <c r="I67" s="150" t="s">
        <v>7</v>
      </c>
      <c r="J67" s="150"/>
    </row>
    <row r="68" spans="1:10" ht="42.75" customHeight="1">
      <c r="A68" s="19">
        <v>22</v>
      </c>
      <c r="B68" s="207" t="s">
        <v>128</v>
      </c>
      <c r="C68" s="298">
        <f>'Child Support Comp Entry'!B51</f>
      </c>
      <c r="D68" s="209">
        <f>IF(ISNUMBER(C67),IF(C67&gt;0,IF(C68="mother","",IF(C68="father","",IF(C68="other","","                        CORRECT FIELD REQUIRED"))),""),"")</f>
      </c>
      <c r="E68" s="300"/>
      <c r="F68" s="301"/>
      <c r="G68" s="213" t="b">
        <f>IF(ISNUMBER(G67),IF(C67&gt;7,'Cash Medical Table'!H8+(G67*577),IF(ISERROR(ROUND(HLOOKUP(G67,'Cash Medical Table'!B6:H8,3,TRUE),0)),0,ROUND(HLOOKUP(G67,'Cash Medical Table'!B6:H8,3,TRUE),0))))</f>
        <v>0</v>
      </c>
      <c r="H68" s="213" t="b">
        <f>IF(ISNUMBER(H67),IF(C67&gt;7,'Cash Medical Table'!H8+(H67*577),IF(ISERROR(ROUND(HLOOKUP(H67,'Cash Medical Table'!B6:I8,3,TRUE),0)),0,ROUND(HLOOKUP(H67,'Cash Medical Table'!B6:H8,3,TRUE),0))))</f>
        <v>0</v>
      </c>
      <c r="I68" s="150" t="s">
        <v>7</v>
      </c>
      <c r="J68" s="150"/>
    </row>
    <row r="69" spans="1:10" ht="104.25" customHeight="1">
      <c r="A69" s="26">
        <v>23</v>
      </c>
      <c r="B69" s="381" t="s">
        <v>140</v>
      </c>
      <c r="C69" s="382"/>
      <c r="D69" s="143">
        <f>IF(ISNUMBER(G69),(G69*D29),0)</f>
        <v>0</v>
      </c>
      <c r="E69" s="143">
        <f>IF(ISNUMBER(H69),(H69*E29),0)</f>
        <v>0</v>
      </c>
      <c r="F69" s="216">
        <f>IF(ISNUMBER(H69),H69,0)</f>
        <v>0</v>
      </c>
      <c r="G69" s="137" t="b">
        <f>IF(ISNUMBER(G67),IF(F18&gt;G68,C67*115,0))</f>
        <v>0</v>
      </c>
      <c r="H69" s="137" t="b">
        <f>IF(ISNUMBER(H67),IF(F18&gt;H68,C67*115,0))</f>
        <v>0</v>
      </c>
      <c r="I69" s="174"/>
      <c r="J69" s="174"/>
    </row>
    <row r="70" spans="1:10" ht="42.75" customHeight="1">
      <c r="A70" s="26">
        <v>24</v>
      </c>
      <c r="B70" s="379" t="s">
        <v>93</v>
      </c>
      <c r="C70" s="380"/>
      <c r="D70" s="144">
        <f>IF(C15="father",IF(ISNUMBER(D18),D21*0.05,""),"")</f>
      </c>
      <c r="E70" s="144">
        <f>IF(C15="mother",IF(ISNUMBER(E18),E21*0.05,""),"")</f>
      </c>
      <c r="F70" s="297"/>
      <c r="G70" s="135"/>
      <c r="H70" s="174"/>
      <c r="I70" s="174"/>
      <c r="J70" s="174" t="s">
        <v>7</v>
      </c>
    </row>
    <row r="71" spans="1:10" ht="51" customHeight="1">
      <c r="A71" s="19">
        <v>25</v>
      </c>
      <c r="B71" s="409" t="s">
        <v>145</v>
      </c>
      <c r="C71" s="410"/>
      <c r="D71" s="21">
        <f>IF(ISNUMBER(G67),IF(C68=C15,0,IF(C15="father",IF(D54+D69&gt;D70,IF(D70-D54&gt;0,D70-D54,0),D69),0)),0)</f>
        <v>0</v>
      </c>
      <c r="E71" s="21">
        <f>IF(ISNUMBER(H67),IF(C68=C15,0,IF(C15="mother",IF(E54+E69&gt;E70,IF(E70-E54&gt;0,E70-E54,0),E69),0)),0)</f>
        <v>0</v>
      </c>
      <c r="F71" s="296"/>
      <c r="H71" s="135"/>
      <c r="I71" s="167"/>
      <c r="J71" s="167"/>
    </row>
    <row r="72" spans="1:6" ht="10.5" customHeight="1" thickBot="1">
      <c r="A72" s="375"/>
      <c r="B72" s="376"/>
      <c r="C72" s="376"/>
      <c r="D72" s="376"/>
      <c r="E72" s="376"/>
      <c r="F72" s="377"/>
    </row>
    <row r="73" spans="1:10" ht="14.25" thickBot="1" thickTop="1">
      <c r="A73" s="164" t="s">
        <v>70</v>
      </c>
      <c r="B73" s="420" t="s">
        <v>71</v>
      </c>
      <c r="C73" s="421"/>
      <c r="D73" s="218" t="s">
        <v>5</v>
      </c>
      <c r="E73" s="218" t="s">
        <v>6</v>
      </c>
      <c r="F73" s="296"/>
      <c r="I73" s="150" t="s">
        <v>7</v>
      </c>
      <c r="J73" s="168" t="s">
        <v>7</v>
      </c>
    </row>
    <row r="74" spans="1:10" ht="54.75" customHeight="1" thickTop="1">
      <c r="A74" s="222">
        <v>26</v>
      </c>
      <c r="B74" s="409" t="s">
        <v>114</v>
      </c>
      <c r="C74" s="378"/>
      <c r="D74" s="221">
        <f>IF(C15="Father",IF(D58&gt;0,IF(D65&gt;0,D65,0),IF(D65+D58&gt;0,D65+D58,0)),"")</f>
      </c>
      <c r="E74" s="221">
        <f>IF(C15="mother",IF(E58&gt;0,IF(E65&gt;0,E65,0),IF(E65+E58&gt;0,E65+E58,0)),"")</f>
      </c>
      <c r="F74" s="477" t="s">
        <v>7</v>
      </c>
      <c r="G74" s="135"/>
      <c r="J74" s="2" t="s">
        <v>7</v>
      </c>
    </row>
    <row r="75" spans="1:12" ht="56.25" customHeight="1">
      <c r="A75" s="222" t="s">
        <v>7</v>
      </c>
      <c r="B75" s="479" t="s">
        <v>136</v>
      </c>
      <c r="C75" s="456"/>
      <c r="D75" s="21">
        <f>IF(C15="Father",IF(G75&gt;0,D71,IF(D71+G75&gt;0,D71+G75,0)),"")</f>
      </c>
      <c r="E75" s="21">
        <f>IF(C15="mother",IF(H75&gt;0,E71,IF(E71+H75&gt;0,E71+H75,0)),"")</f>
      </c>
      <c r="F75" s="477"/>
      <c r="G75" s="224">
        <f>IF(D65&gt;0,D65-D58,D65+D58)</f>
        <v>0</v>
      </c>
      <c r="H75" s="224">
        <f>IF(E65&gt;0,E65-E58,E65+E58)</f>
        <v>0</v>
      </c>
      <c r="J75" s="2" t="s">
        <v>7</v>
      </c>
      <c r="L75" s="5"/>
    </row>
    <row r="76" spans="1:10" ht="53.25" customHeight="1">
      <c r="A76" s="222" t="s">
        <v>7</v>
      </c>
      <c r="B76" s="479" t="s">
        <v>115</v>
      </c>
      <c r="C76" s="456"/>
      <c r="D76" s="21">
        <f>IF(C15="Father",IF(D65&gt;0,IF(D58&gt;0,D58,0),IF(D65+D58&gt;0,D65+D58,0)),"")</f>
      </c>
      <c r="E76" s="21">
        <f>IF(C15="mother",IF(E65&gt;0,IF(E58&gt;0,E58,0),IF(E65+E58&gt;0,E65+E58,0)),"")</f>
      </c>
      <c r="F76" s="477"/>
      <c r="G76" s="135"/>
      <c r="J76" s="2" t="s">
        <v>7</v>
      </c>
    </row>
    <row r="77" spans="1:7" ht="40.5" customHeight="1" thickBot="1">
      <c r="A77" s="223">
        <v>27</v>
      </c>
      <c r="B77" s="480" t="s">
        <v>97</v>
      </c>
      <c r="C77" s="481"/>
      <c r="D77" s="177">
        <f>IF(C15="father",SUM(D74:D76),"")</f>
      </c>
      <c r="E77" s="177">
        <f>IF(C15="mother",SUM(E74:E76),"")</f>
      </c>
      <c r="F77" s="478"/>
      <c r="G77" s="135" t="s">
        <v>7</v>
      </c>
    </row>
    <row r="78" spans="7:12" ht="13.5" thickTop="1">
      <c r="G78" s="390" t="s">
        <v>7</v>
      </c>
      <c r="H78" s="474"/>
      <c r="I78" s="474"/>
      <c r="J78" s="474"/>
      <c r="K78" s="474"/>
      <c r="L78" s="474"/>
    </row>
    <row r="79" spans="1:9" ht="15.75" customHeight="1">
      <c r="A79" s="390" t="str">
        <f>(G79&amp;" shall begin payments on "&amp;I79&amp;" and continue on the same date of")</f>
        <v>  shall begin payments on   and continue on the same date of</v>
      </c>
      <c r="B79" s="388"/>
      <c r="C79" s="388"/>
      <c r="D79" s="388"/>
      <c r="E79" s="388"/>
      <c r="F79" s="388"/>
      <c r="G79" s="2" t="str">
        <f>IF('Names and Signature Lines'!B3&gt;"",'Names and Signature Lines'!B3,"_____________________")</f>
        <v> </v>
      </c>
      <c r="I79" s="2" t="str">
        <f>IF('Names and Signature Lines'!B4&gt;"",'Names and Signature Lines'!B4,"_____________________")</f>
        <v> </v>
      </c>
    </row>
    <row r="80" spans="1:6" ht="14.25" customHeight="1">
      <c r="A80" s="390" t="s">
        <v>300</v>
      </c>
      <c r="B80" s="388"/>
      <c r="C80" s="388"/>
      <c r="D80" s="388"/>
      <c r="E80" s="388"/>
      <c r="F80" s="388"/>
    </row>
    <row r="82" spans="1:6" ht="15.75" customHeight="1">
      <c r="A82" s="323" t="str">
        <f>'Names and Signature Lines'!B5</f>
        <v> </v>
      </c>
      <c r="B82" s="424" t="s">
        <v>17</v>
      </c>
      <c r="C82" s="424"/>
      <c r="D82" s="424"/>
      <c r="E82" s="424"/>
      <c r="F82" s="424"/>
    </row>
    <row r="83" spans="1:12" ht="15.75" customHeight="1">
      <c r="A83" s="324" t="str">
        <f>'Names and Signature Lines'!B6</f>
        <v> </v>
      </c>
      <c r="B83" s="424" t="s">
        <v>18</v>
      </c>
      <c r="C83" s="424"/>
      <c r="D83" s="424"/>
      <c r="E83" s="424"/>
      <c r="F83" s="424"/>
      <c r="G83" s="390"/>
      <c r="H83" s="474"/>
      <c r="I83" s="474"/>
      <c r="J83" s="474"/>
      <c r="K83" s="474"/>
      <c r="L83" s="474"/>
    </row>
    <row r="84" spans="1:10" ht="24" customHeight="1">
      <c r="A84" s="475" t="str">
        <f>'Names and Signature Lines'!B7</f>
        <v> </v>
      </c>
      <c r="B84" s="476"/>
      <c r="C84" s="476"/>
      <c r="D84" s="476"/>
      <c r="E84" s="476"/>
      <c r="F84" s="476"/>
      <c r="J84" s="2" t="s">
        <v>7</v>
      </c>
    </row>
    <row r="85" spans="1:6" ht="22.5" customHeight="1">
      <c r="A85" s="475" t="str">
        <f>'Names and Signature Lines'!B8</f>
        <v> </v>
      </c>
      <c r="B85" s="476"/>
      <c r="C85" s="476"/>
      <c r="D85" s="476"/>
      <c r="E85" s="476"/>
      <c r="F85" s="476"/>
    </row>
    <row r="86" spans="1:6" ht="22.5" customHeight="1">
      <c r="A86" s="475" t="str">
        <f>'Names and Signature Lines'!B9</f>
        <v> </v>
      </c>
      <c r="B86" s="476"/>
      <c r="C86" s="476"/>
      <c r="D86" s="476"/>
      <c r="E86" s="476"/>
      <c r="F86" s="476"/>
    </row>
    <row r="87" spans="1:6" ht="12.75">
      <c r="A87" s="402"/>
      <c r="B87" s="402"/>
      <c r="C87" s="402"/>
      <c r="D87" s="402"/>
      <c r="E87" s="402"/>
      <c r="F87" s="402"/>
    </row>
    <row r="88" spans="1:6" ht="6.75" customHeight="1">
      <c r="A88" s="197"/>
      <c r="B88" s="317"/>
      <c r="C88" s="197"/>
      <c r="D88" s="197"/>
      <c r="E88" s="197"/>
      <c r="F88" s="197"/>
    </row>
    <row r="89" spans="1:6" ht="12.75">
      <c r="A89" s="197"/>
      <c r="B89" s="197"/>
      <c r="C89" s="197"/>
      <c r="D89" s="197"/>
      <c r="E89" s="197"/>
      <c r="F89" s="197"/>
    </row>
    <row r="90" spans="1:6" ht="13.5" customHeight="1">
      <c r="A90" s="32" t="s">
        <v>76</v>
      </c>
      <c r="B90" s="328" t="str">
        <f>'Names and Signature Lines'!B10</f>
        <v> </v>
      </c>
      <c r="C90" s="29"/>
      <c r="E90" s="41"/>
      <c r="F90" s="41"/>
    </row>
    <row r="91" spans="1:6" ht="3.75" customHeight="1">
      <c r="A91" s="32"/>
      <c r="B91" s="325" t="s">
        <v>297</v>
      </c>
      <c r="C91" s="371"/>
      <c r="E91" s="41"/>
      <c r="F91" s="41"/>
    </row>
    <row r="92" spans="1:6" ht="12.75">
      <c r="A92" s="402"/>
      <c r="B92" s="402"/>
      <c r="C92" s="402"/>
      <c r="D92" s="374"/>
      <c r="E92" s="426"/>
      <c r="F92" s="426"/>
    </row>
    <row r="93" spans="1:6" ht="3.75" customHeight="1">
      <c r="A93" s="197"/>
      <c r="B93" s="197"/>
      <c r="C93" s="197"/>
      <c r="D93" s="398" t="s">
        <v>296</v>
      </c>
      <c r="E93" s="399"/>
      <c r="F93" s="425"/>
    </row>
    <row r="94" spans="1:6" ht="12.75">
      <c r="A94" s="386"/>
      <c r="B94" s="386"/>
      <c r="C94" s="386"/>
      <c r="D94" s="385" t="s">
        <v>19</v>
      </c>
      <c r="E94" s="385"/>
      <c r="F94" s="385"/>
    </row>
    <row r="95" spans="1:6" ht="12.75">
      <c r="A95" s="387" t="s">
        <v>20</v>
      </c>
      <c r="B95" s="387"/>
      <c r="C95" s="387"/>
      <c r="D95" s="387"/>
      <c r="E95" s="387"/>
      <c r="F95" s="387"/>
    </row>
    <row r="96" spans="1:6" ht="12.75">
      <c r="A96" s="159"/>
      <c r="B96" s="159"/>
      <c r="C96" s="159"/>
      <c r="D96" s="159"/>
      <c r="E96" s="159"/>
      <c r="F96" s="159"/>
    </row>
    <row r="97" spans="1:6" ht="12.75">
      <c r="A97" s="159"/>
      <c r="B97" s="159"/>
      <c r="C97" s="159"/>
      <c r="D97" s="159"/>
      <c r="E97" s="159"/>
      <c r="F97" s="159"/>
    </row>
    <row r="98" spans="1:6" ht="14.25" customHeight="1">
      <c r="A98" s="374" t="str">
        <f>'Names and Signature Lines'!B11</f>
        <v> </v>
      </c>
      <c r="B98" s="423"/>
      <c r="C98" s="388"/>
      <c r="D98" s="388"/>
      <c r="E98" s="388"/>
      <c r="F98" s="388"/>
    </row>
    <row r="99" spans="1:7" ht="4.5" customHeight="1">
      <c r="A99" s="398" t="s">
        <v>295</v>
      </c>
      <c r="B99" s="399"/>
      <c r="C99" s="397" t="s">
        <v>56</v>
      </c>
      <c r="D99" s="397"/>
      <c r="E99" s="397"/>
      <c r="F99" s="397"/>
      <c r="G99" s="322"/>
    </row>
    <row r="100" spans="1:7" ht="12.75" customHeight="1">
      <c r="A100" s="31" t="s">
        <v>57</v>
      </c>
      <c r="B100" s="33"/>
      <c r="C100" s="401" t="s">
        <v>58</v>
      </c>
      <c r="D100" s="401"/>
      <c r="E100" s="401"/>
      <c r="F100" s="401"/>
      <c r="G100" s="2" t="s">
        <v>7</v>
      </c>
    </row>
    <row r="101" spans="1:6" ht="12.75" customHeight="1">
      <c r="A101" s="31"/>
      <c r="B101" s="33"/>
      <c r="C101" s="32"/>
      <c r="D101" s="32"/>
      <c r="E101" s="32"/>
      <c r="F101" s="32"/>
    </row>
    <row r="102" spans="1:6" ht="12.75" customHeight="1">
      <c r="A102" s="31"/>
      <c r="B102" s="139" t="s">
        <v>7</v>
      </c>
      <c r="C102" s="139"/>
      <c r="D102" s="139"/>
      <c r="E102" s="139"/>
      <c r="F102" s="32"/>
    </row>
    <row r="103" spans="1:6" ht="12.75" customHeight="1">
      <c r="A103" s="400" t="str">
        <f>'Names and Signature Lines'!B12</f>
        <v> </v>
      </c>
      <c r="B103" s="401"/>
      <c r="C103" s="402" t="s">
        <v>7</v>
      </c>
      <c r="D103" s="402"/>
      <c r="E103" s="402"/>
      <c r="F103" s="402"/>
    </row>
    <row r="104" spans="1:7" ht="3.75" customHeight="1">
      <c r="A104" s="398" t="s">
        <v>295</v>
      </c>
      <c r="B104" s="399"/>
      <c r="C104" s="397" t="s">
        <v>56</v>
      </c>
      <c r="D104" s="397"/>
      <c r="E104" s="397"/>
      <c r="F104" s="397"/>
      <c r="G104" s="322"/>
    </row>
    <row r="105" spans="1:6" ht="12.75" customHeight="1">
      <c r="A105" s="38" t="s">
        <v>59</v>
      </c>
      <c r="B105" s="38"/>
      <c r="C105" s="389" t="s">
        <v>134</v>
      </c>
      <c r="D105" s="389"/>
      <c r="E105" s="389"/>
      <c r="F105" s="389"/>
    </row>
    <row r="106" spans="1:6" ht="12.75" customHeight="1">
      <c r="A106" s="38"/>
      <c r="B106" s="38"/>
      <c r="C106" s="41"/>
      <c r="D106" s="41"/>
      <c r="E106" s="41"/>
      <c r="F106" s="41"/>
    </row>
    <row r="107" spans="1:6" ht="12.75" customHeight="1">
      <c r="A107" s="31"/>
      <c r="B107" s="36"/>
      <c r="C107" s="30"/>
      <c r="D107" s="34"/>
      <c r="E107" s="34"/>
      <c r="F107" s="37"/>
    </row>
    <row r="108" spans="1:6" ht="12.75" customHeight="1">
      <c r="A108" s="400" t="str">
        <f>'Names and Signature Lines'!B13</f>
        <v> </v>
      </c>
      <c r="B108" s="401"/>
      <c r="C108" s="402" t="s">
        <v>7</v>
      </c>
      <c r="D108" s="402"/>
      <c r="E108" s="402"/>
      <c r="F108" s="402"/>
    </row>
    <row r="109" spans="1:7" ht="3.75" customHeight="1">
      <c r="A109" s="398" t="s">
        <v>295</v>
      </c>
      <c r="B109" s="399"/>
      <c r="C109" s="397" t="s">
        <v>56</v>
      </c>
      <c r="D109" s="397"/>
      <c r="E109" s="397"/>
      <c r="F109" s="397"/>
      <c r="G109" s="322"/>
    </row>
    <row r="110" spans="1:6" ht="12.75" customHeight="1">
      <c r="A110" s="31" t="s">
        <v>60</v>
      </c>
      <c r="B110" s="33"/>
      <c r="C110" s="401" t="s">
        <v>61</v>
      </c>
      <c r="D110" s="401"/>
      <c r="E110" s="401"/>
      <c r="F110" s="401"/>
    </row>
    <row r="111" spans="1:6" ht="12.75" customHeight="1">
      <c r="A111" s="32"/>
      <c r="B111" s="38"/>
      <c r="C111" s="32"/>
      <c r="D111" s="39"/>
      <c r="E111" s="39"/>
      <c r="F111" s="35"/>
    </row>
    <row r="112" spans="1:6" ht="12.75" customHeight="1">
      <c r="A112" s="38"/>
      <c r="B112" s="38"/>
      <c r="C112" s="40"/>
      <c r="D112" s="39"/>
      <c r="E112" s="39"/>
      <c r="F112" s="39"/>
    </row>
    <row r="113" spans="1:6" ht="12.75" customHeight="1">
      <c r="A113" s="400" t="str">
        <f>'Names and Signature Lines'!B14</f>
        <v> </v>
      </c>
      <c r="B113" s="401"/>
      <c r="C113" s="402" t="s">
        <v>7</v>
      </c>
      <c r="D113" s="402"/>
      <c r="E113" s="402"/>
      <c r="F113" s="402"/>
    </row>
    <row r="114" spans="1:7" ht="3.75" customHeight="1">
      <c r="A114" s="398" t="s">
        <v>295</v>
      </c>
      <c r="B114" s="399"/>
      <c r="C114" s="397" t="s">
        <v>56</v>
      </c>
      <c r="D114" s="397"/>
      <c r="E114" s="397"/>
      <c r="F114" s="397"/>
      <c r="G114" s="322"/>
    </row>
    <row r="115" spans="1:6" ht="12.75" customHeight="1">
      <c r="A115" s="38" t="s">
        <v>62</v>
      </c>
      <c r="B115" s="38"/>
      <c r="C115" s="389" t="s">
        <v>319</v>
      </c>
      <c r="D115" s="389"/>
      <c r="E115" s="389"/>
      <c r="F115" s="389"/>
    </row>
    <row r="116" spans="1:6" ht="12.75" customHeight="1">
      <c r="A116" s="38"/>
      <c r="B116" s="38"/>
      <c r="C116" s="41"/>
      <c r="D116" s="41"/>
      <c r="E116" s="41"/>
      <c r="F116" s="41"/>
    </row>
    <row r="117" spans="1:6" ht="12.75" customHeight="1">
      <c r="A117" s="38"/>
      <c r="B117" s="38"/>
      <c r="C117" s="41"/>
      <c r="D117" s="41"/>
      <c r="E117" s="41"/>
      <c r="F117" s="41"/>
    </row>
    <row r="118" spans="1:6" ht="12.75" customHeight="1">
      <c r="A118" s="400" t="str">
        <f>'Names and Signature Lines'!B15</f>
        <v> </v>
      </c>
      <c r="B118" s="401"/>
      <c r="C118" s="402" t="s">
        <v>7</v>
      </c>
      <c r="D118" s="402"/>
      <c r="E118" s="402"/>
      <c r="F118" s="402"/>
    </row>
    <row r="119" spans="1:7" ht="4.5" customHeight="1">
      <c r="A119" s="398" t="s">
        <v>295</v>
      </c>
      <c r="B119" s="399"/>
      <c r="C119" s="397" t="s">
        <v>56</v>
      </c>
      <c r="D119" s="397"/>
      <c r="E119" s="397"/>
      <c r="F119" s="397"/>
      <c r="G119" s="322"/>
    </row>
    <row r="120" spans="1:6" ht="12.75" customHeight="1">
      <c r="A120" s="31" t="s">
        <v>83</v>
      </c>
      <c r="B120" s="33"/>
      <c r="C120" s="401" t="s">
        <v>86</v>
      </c>
      <c r="D120" s="401"/>
      <c r="E120" s="401"/>
      <c r="F120" s="401"/>
    </row>
    <row r="121" spans="1:6" ht="12.75" customHeight="1">
      <c r="A121" s="31"/>
      <c r="B121" s="33"/>
      <c r="C121" s="32"/>
      <c r="D121" s="32"/>
      <c r="E121" s="32"/>
      <c r="F121" s="32"/>
    </row>
    <row r="122" spans="1:6" ht="12.75" customHeight="1">
      <c r="A122" s="32"/>
      <c r="B122" s="38"/>
      <c r="C122" s="32"/>
      <c r="D122" s="39"/>
      <c r="E122" s="39"/>
      <c r="F122" s="35"/>
    </row>
    <row r="123" spans="1:6" ht="12.75" customHeight="1">
      <c r="A123" s="400" t="str">
        <f>'Names and Signature Lines'!B16</f>
        <v> </v>
      </c>
      <c r="B123" s="401"/>
      <c r="C123" s="402" t="s">
        <v>7</v>
      </c>
      <c r="D123" s="402"/>
      <c r="E123" s="402"/>
      <c r="F123" s="402"/>
    </row>
    <row r="124" spans="1:7" ht="3.75" customHeight="1">
      <c r="A124" s="398" t="s">
        <v>295</v>
      </c>
      <c r="B124" s="399"/>
      <c r="C124" s="397" t="s">
        <v>56</v>
      </c>
      <c r="D124" s="397"/>
      <c r="E124" s="397"/>
      <c r="F124" s="397"/>
      <c r="G124" s="322"/>
    </row>
    <row r="125" spans="1:6" ht="12.75" customHeight="1">
      <c r="A125" s="38" t="s">
        <v>94</v>
      </c>
      <c r="B125" s="38"/>
      <c r="C125" s="41" t="s">
        <v>131</v>
      </c>
      <c r="D125" s="39"/>
      <c r="E125" s="39"/>
      <c r="F125" s="39"/>
    </row>
    <row r="126" spans="1:6" ht="12.75" customHeight="1">
      <c r="A126" s="32"/>
      <c r="B126" s="38"/>
      <c r="C126" s="32" t="s">
        <v>132</v>
      </c>
      <c r="D126" s="39"/>
      <c r="E126" s="39"/>
      <c r="F126" s="35"/>
    </row>
    <row r="127" spans="1:6" ht="12.75" customHeight="1">
      <c r="A127" s="32"/>
      <c r="B127" s="38"/>
      <c r="C127" s="32"/>
      <c r="D127" s="39"/>
      <c r="E127" s="39"/>
      <c r="F127" s="35"/>
    </row>
    <row r="128" spans="1:6" ht="12.75" customHeight="1">
      <c r="A128" s="400" t="str">
        <f>'Names and Signature Lines'!B17</f>
        <v> </v>
      </c>
      <c r="B128" s="401"/>
      <c r="C128" s="402" t="s">
        <v>7</v>
      </c>
      <c r="D128" s="402"/>
      <c r="E128" s="402"/>
      <c r="F128" s="402"/>
    </row>
    <row r="129" spans="1:7" ht="3.75" customHeight="1">
      <c r="A129" s="398" t="s">
        <v>295</v>
      </c>
      <c r="B129" s="399"/>
      <c r="C129" s="397" t="s">
        <v>56</v>
      </c>
      <c r="D129" s="397"/>
      <c r="E129" s="397"/>
      <c r="F129" s="397"/>
      <c r="G129" s="322"/>
    </row>
    <row r="130" spans="1:7" ht="12.75" customHeight="1">
      <c r="A130" s="38" t="s">
        <v>63</v>
      </c>
      <c r="B130" s="38"/>
      <c r="C130" s="389" t="s">
        <v>133</v>
      </c>
      <c r="D130" s="389"/>
      <c r="E130" s="389"/>
      <c r="F130" s="389"/>
      <c r="G130" s="2" t="s">
        <v>7</v>
      </c>
    </row>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sheetData>
  <sheetProtection sheet="1" objects="1" scenarios="1"/>
  <mergeCells count="135">
    <mergeCell ref="A86:F86"/>
    <mergeCell ref="B82:F82"/>
    <mergeCell ref="A80:F80"/>
    <mergeCell ref="G83:L83"/>
    <mergeCell ref="B65:C65"/>
    <mergeCell ref="G78:L78"/>
    <mergeCell ref="A84:F84"/>
    <mergeCell ref="A85:F85"/>
    <mergeCell ref="B71:C71"/>
    <mergeCell ref="F74:F77"/>
    <mergeCell ref="B76:C76"/>
    <mergeCell ref="B75:C75"/>
    <mergeCell ref="B73:C73"/>
    <mergeCell ref="B77:C77"/>
    <mergeCell ref="B55:C55"/>
    <mergeCell ref="B57:C57"/>
    <mergeCell ref="B63:C63"/>
    <mergeCell ref="B60:C60"/>
    <mergeCell ref="B58:C58"/>
    <mergeCell ref="B61:C61"/>
    <mergeCell ref="B56:C56"/>
    <mergeCell ref="B53:C53"/>
    <mergeCell ref="B54:C54"/>
    <mergeCell ref="B62:C62"/>
    <mergeCell ref="H32:K32"/>
    <mergeCell ref="B35:C35"/>
    <mergeCell ref="B36:C36"/>
    <mergeCell ref="B37:C37"/>
    <mergeCell ref="B33:C33"/>
    <mergeCell ref="F35:F37"/>
    <mergeCell ref="D34:E34"/>
    <mergeCell ref="D38:E38"/>
    <mergeCell ref="B51:C51"/>
    <mergeCell ref="A9:F9"/>
    <mergeCell ref="B26:C26"/>
    <mergeCell ref="B17:C17"/>
    <mergeCell ref="B18:C18"/>
    <mergeCell ref="D13:F14"/>
    <mergeCell ref="A13:C13"/>
    <mergeCell ref="B23:C23"/>
    <mergeCell ref="F19:F25"/>
    <mergeCell ref="B31:C31"/>
    <mergeCell ref="B22:C22"/>
    <mergeCell ref="E6:F6"/>
    <mergeCell ref="E7:F7"/>
    <mergeCell ref="E8:F8"/>
    <mergeCell ref="B20:C20"/>
    <mergeCell ref="D15:F16"/>
    <mergeCell ref="B25:C25"/>
    <mergeCell ref="B24:C24"/>
    <mergeCell ref="B21:C21"/>
    <mergeCell ref="A6:B6"/>
    <mergeCell ref="C6:D6"/>
    <mergeCell ref="A7:B7"/>
    <mergeCell ref="A8:B8"/>
    <mergeCell ref="C7:D7"/>
    <mergeCell ref="C8:D8"/>
    <mergeCell ref="E4:F4"/>
    <mergeCell ref="A5:B5"/>
    <mergeCell ref="C5:D5"/>
    <mergeCell ref="E5:F5"/>
    <mergeCell ref="A4:B4"/>
    <mergeCell ref="C4:D4"/>
    <mergeCell ref="C120:F120"/>
    <mergeCell ref="A98:B98"/>
    <mergeCell ref="C100:F100"/>
    <mergeCell ref="B83:F83"/>
    <mergeCell ref="A113:B113"/>
    <mergeCell ref="C113:F113"/>
    <mergeCell ref="A92:C92"/>
    <mergeCell ref="A87:F87"/>
    <mergeCell ref="D93:F93"/>
    <mergeCell ref="D92:F92"/>
    <mergeCell ref="B45:C45"/>
    <mergeCell ref="A79:F79"/>
    <mergeCell ref="A43:A48"/>
    <mergeCell ref="B70:C70"/>
    <mergeCell ref="B66:C66"/>
    <mergeCell ref="B69:C69"/>
    <mergeCell ref="B52:C52"/>
    <mergeCell ref="A72:F72"/>
    <mergeCell ref="B74:C74"/>
    <mergeCell ref="B64:C64"/>
    <mergeCell ref="C130:F130"/>
    <mergeCell ref="A123:B123"/>
    <mergeCell ref="C123:F123"/>
    <mergeCell ref="A128:B128"/>
    <mergeCell ref="C128:F128"/>
    <mergeCell ref="A129:B129"/>
    <mergeCell ref="C129:F129"/>
    <mergeCell ref="A124:B124"/>
    <mergeCell ref="C124:F124"/>
    <mergeCell ref="A103:B103"/>
    <mergeCell ref="C103:F103"/>
    <mergeCell ref="C115:F115"/>
    <mergeCell ref="C105:F105"/>
    <mergeCell ref="A108:B108"/>
    <mergeCell ref="C108:F108"/>
    <mergeCell ref="C110:F110"/>
    <mergeCell ref="A104:B104"/>
    <mergeCell ref="C104:F104"/>
    <mergeCell ref="A109:B109"/>
    <mergeCell ref="C99:F99"/>
    <mergeCell ref="D94:F94"/>
    <mergeCell ref="A94:C94"/>
    <mergeCell ref="A95:F95"/>
    <mergeCell ref="A99:B99"/>
    <mergeCell ref="C98:F98"/>
    <mergeCell ref="B50:C50"/>
    <mergeCell ref="B39:C39"/>
    <mergeCell ref="B49:C49"/>
    <mergeCell ref="B42:C42"/>
    <mergeCell ref="B43:C43"/>
    <mergeCell ref="B44:C44"/>
    <mergeCell ref="B48:C48"/>
    <mergeCell ref="B41:C41"/>
    <mergeCell ref="B47:C47"/>
    <mergeCell ref="B46:C46"/>
    <mergeCell ref="F45:F46"/>
    <mergeCell ref="B19:C19"/>
    <mergeCell ref="A26:A27"/>
    <mergeCell ref="B28:C28"/>
    <mergeCell ref="A23:A25"/>
    <mergeCell ref="B29:C29"/>
    <mergeCell ref="B30:C30"/>
    <mergeCell ref="B40:C40"/>
    <mergeCell ref="F26:F27"/>
    <mergeCell ref="B27:C27"/>
    <mergeCell ref="C109:F109"/>
    <mergeCell ref="A114:B114"/>
    <mergeCell ref="C114:F114"/>
    <mergeCell ref="A119:B119"/>
    <mergeCell ref="C119:F119"/>
    <mergeCell ref="A118:B118"/>
    <mergeCell ref="C118:F118"/>
  </mergeCells>
  <dataValidations count="18">
    <dataValidation allowBlank="1" showInputMessage="1" showErrorMessage="1" promptTitle="Cash Medical Support" prompt="This amount to pay in lieu of insurance will cease if the custodial parent gets insurance." sqref="B71:C71"/>
    <dataValidation allowBlank="1" showInputMessage="1" showErrorMessage="1" promptTitle="SSA Title II Benefits" prompt="Social Security Title II benefits received by a child shall be included in the gross income to the parent on whose account the benefit of the child is drawn.  If the benefit is drawn from the disability of the child, it should not be included." sqref="B64:C64 B22:C22"/>
    <dataValidation allowBlank="1" showInputMessage="1" showErrorMessage="1" promptTitle="Ongoing medical costs" prompt="This amount continues even if the parent(s) obtain medical insurance." sqref="B56:C56"/>
    <dataValidation allowBlank="1" showInputMessage="1" showErrorMessage="1" promptTitle="Shared Parenting Factor" prompt="Based on the parent with the fewest overnights&#10;182 or 183 for both parents = 1.5&#10;Over 143 overnights = 1.5&#10;132-143 overnights = 1.75&#10;121-131 overnights = 2&#10;0-120 = no factor" sqref="B34"/>
    <dataValidation allowBlank="1" showInputMessage="1" showErrorMessage="1" promptTitle="Adjusted gross monthly income" prompt="Adjusted gross monthly income is the net determination of the income of a parent, calculated by modifying the gross monthly income in line 2, by adding line 2a and subtracting 2b, 2c, 2d and 2f." sqref="B28:C28"/>
    <dataValidation allowBlank="1" showInputMessage="1" showErrorMessage="1" promptTitle="Percentage share of income." prompt="This is the adjusted gross income of each parent divided by the combined adjusted gross monthly income." sqref="B29:C29"/>
    <dataValidation allowBlank="1" showInputMessage="1" showErrorMessage="1" promptTitle="Number of overnights" prompt="&quot;Overnight&quot; means the child is in the physical custody and control of a parent for an overnight period of at least 12 hours, and that parent has made a reasonable expenditure of resources for the care of the child." sqref="B32:C32"/>
    <dataValidation allowBlank="1" showInputMessage="1" showErrorMessage="1" promptTitle="Parent's share" prompt="Adjusted combined base monthly obligation multiplied by the percentage share of income." sqref="B35:C35"/>
    <dataValidation allowBlank="1" showInputMessage="1" showErrorMessage="1" promptTitle="In-home children deduction" prompt="This deduction is derived using the CS Schedule for the gross monthly income (less self-emp tax) and the number of &quot;qualified&quot; in-home children.  This amount from the schedule is multiplied by 75%." sqref="B27:C27"/>
    <dataValidation allowBlank="1" showInputMessage="1" showErrorMessage="1" promptTitle="Self-employment tax deduction" prompt="This tax deduction is derived by multiplying the self-employed income amount by 7.65%." sqref="B20:C20"/>
    <dataValidation allowBlank="1" showInputMessage="1" showErrorMessage="1" promptTitle="Qualified in-home children" prompt="&quot;Qualified&quot; means  &#10;1. biological, legal or adopted &#10;2. prior born &#10;3. parent is actually supporting and &#10;4. child is not on this case." sqref="B26:C26"/>
    <dataValidation allowBlank="1" showInputMessage="1" showErrorMessage="1" promptTitle="Support alimony paid for others" prompt="The court-ordered monthly support alimony arising in a prior case to the extent that payment is actually made." sqref="B23:C23"/>
    <dataValidation allowBlank="1" showInputMessage="1" showErrorMessage="1" promptTitle="Monthly child support" prompt="Court-ordered monthly child support for other children for whom the parent is legally responsible and is actually supporting." sqref="B25:C25"/>
    <dataValidation allowBlank="1" showInputMessage="1" showErrorMessage="1" promptTitle="Marital debt" prompt="The amount of reasonable expenses of the parties attributable to debt service for preexisting, jointly acquired debt of the parents." sqref="B24:C24"/>
    <dataValidation allowBlank="1" showInputMessage="1" showErrorMessage="1" promptTitle="Gross income less tax" prompt="This is the gross monthly income with the SSA Title II benefits paid added and the self-employment tax deducted." sqref="B21:C21"/>
    <dataValidation type="whole" allowBlank="1" showInputMessage="1" showErrorMessage="1" sqref="D32">
      <formula1>0</formula1>
      <formula2>365</formula2>
    </dataValidation>
    <dataValidation allowBlank="1" showInputMessage="1" showErrorMessage="1" promptTitle="Gross monthly income" prompt="Gross income includes earned and passive income from any source, except as excluded in SB 2194, Section 3. " sqref="B18:C18"/>
    <dataValidation allowBlank="1" showInputMessage="1" showErrorMessage="1" promptTitle="Petitioners Name" prompt="Enter Petitioners name" sqref="A4:B4"/>
  </dataValidations>
  <printOptions/>
  <pageMargins left="0.75" right="0.4" top="1" bottom="1" header="0.5" footer="0.5"/>
  <pageSetup horizontalDpi="600" verticalDpi="600" orientation="portrait" r:id="rId4"/>
  <headerFooter alignWithMargins="0">
    <oddFooter>&amp;LOKDHS 07/01/2009 &amp;C&amp;"Arial,Bold"&amp;12 03EN025E&amp;R&amp;P of &amp;N</oddFooter>
  </headerFooter>
  <rowBreaks count="4" manualBreakCount="4">
    <brk id="25" max="255" man="1"/>
    <brk id="38" max="255" man="1"/>
    <brk id="68" max="255" man="1"/>
    <brk id="94" max="255" man="1"/>
  </rowBreaks>
  <drawing r:id="rId3"/>
  <legacyDrawing r:id="rId2"/>
  <oleObjects>
    <oleObject progId="MSPhotoEd.3" shapeId="545229" r:id="rId1"/>
  </oleObjects>
</worksheet>
</file>

<file path=xl/worksheets/sheet6.xml><?xml version="1.0" encoding="utf-8"?>
<worksheet xmlns="http://schemas.openxmlformats.org/spreadsheetml/2006/main" xmlns:r="http://schemas.openxmlformats.org/officeDocument/2006/relationships">
  <sheetPr codeName="Sheet6"/>
  <dimension ref="A1:L10"/>
  <sheetViews>
    <sheetView workbookViewId="0" topLeftCell="A1">
      <selection activeCell="A1" sqref="A1:D1"/>
    </sheetView>
  </sheetViews>
  <sheetFormatPr defaultColWidth="9.140625" defaultRowHeight="12.75"/>
  <cols>
    <col min="1" max="1" width="37.421875" style="0" customWidth="1"/>
    <col min="2" max="2" width="14.8515625" style="0" customWidth="1"/>
    <col min="3" max="3" width="12.28125" style="0" customWidth="1"/>
    <col min="4" max="4" width="13.8515625" style="0" customWidth="1"/>
    <col min="6" max="6" width="9.140625" style="0" hidden="1" customWidth="1"/>
    <col min="7" max="7" width="0" style="0" hidden="1" customWidth="1"/>
    <col min="9" max="12" width="0" style="0" hidden="1" customWidth="1"/>
  </cols>
  <sheetData>
    <row r="1" spans="1:12" ht="81.75" customHeight="1" thickBot="1" thickTop="1">
      <c r="A1" s="482" t="s">
        <v>323</v>
      </c>
      <c r="B1" s="483"/>
      <c r="C1" s="483"/>
      <c r="D1" s="484"/>
      <c r="I1" s="485" t="s">
        <v>323</v>
      </c>
      <c r="J1" s="486"/>
      <c r="K1" s="486"/>
      <c r="L1" s="487"/>
    </row>
    <row r="2" spans="1:11" ht="36" customHeight="1" thickBot="1" thickTop="1">
      <c r="A2" s="235" t="s">
        <v>162</v>
      </c>
      <c r="B2" s="236" t="s">
        <v>5</v>
      </c>
      <c r="C2" s="236" t="s">
        <v>6</v>
      </c>
      <c r="D2" s="237" t="s">
        <v>74</v>
      </c>
      <c r="E2" s="2"/>
      <c r="F2" s="2"/>
      <c r="G2" s="2"/>
      <c r="H2" s="2"/>
      <c r="I2" s="2"/>
      <c r="J2" s="2"/>
      <c r="K2" s="2"/>
    </row>
    <row r="3" spans="1:11" ht="40.5" customHeight="1" thickTop="1">
      <c r="A3" s="275" t="s">
        <v>320</v>
      </c>
      <c r="B3" s="20">
        <v>0</v>
      </c>
      <c r="C3" s="20">
        <v>0</v>
      </c>
      <c r="D3" s="152">
        <v>0</v>
      </c>
      <c r="E3" s="2"/>
      <c r="F3" s="2"/>
      <c r="G3" s="2"/>
      <c r="H3" s="2"/>
      <c r="I3" s="2"/>
      <c r="J3" s="2"/>
      <c r="K3" s="2"/>
    </row>
    <row r="4" spans="1:11" ht="34.5" customHeight="1">
      <c r="A4" s="275" t="s">
        <v>291</v>
      </c>
      <c r="B4" s="20">
        <v>0</v>
      </c>
      <c r="C4" s="20">
        <v>0</v>
      </c>
      <c r="D4" s="152">
        <v>0</v>
      </c>
      <c r="E4" s="2"/>
      <c r="F4" s="2"/>
      <c r="G4" s="2"/>
      <c r="H4" s="2"/>
      <c r="I4" s="2"/>
      <c r="J4" s="2"/>
      <c r="K4" s="2"/>
    </row>
    <row r="5" spans="1:11" ht="33.75" customHeight="1">
      <c r="A5" s="275" t="s">
        <v>318</v>
      </c>
      <c r="B5" s="42">
        <v>0</v>
      </c>
      <c r="C5" s="42">
        <v>0</v>
      </c>
      <c r="D5" s="154">
        <v>0</v>
      </c>
      <c r="E5" s="2"/>
      <c r="F5" s="2"/>
      <c r="G5" s="2"/>
      <c r="H5" s="2"/>
      <c r="I5" s="2"/>
      <c r="J5" s="2"/>
      <c r="K5" s="2"/>
    </row>
    <row r="6" spans="1:11" ht="39" customHeight="1">
      <c r="A6" s="275" t="s">
        <v>292</v>
      </c>
      <c r="B6" s="364">
        <f>'Insurance Premium'!D7</f>
        <v>0</v>
      </c>
      <c r="C6" s="364">
        <f>'Insurance Premium'!E7</f>
        <v>0</v>
      </c>
      <c r="D6" s="366">
        <f>'Insurance Premium'!F7</f>
        <v>0</v>
      </c>
      <c r="F6" s="2"/>
      <c r="G6" s="2"/>
      <c r="H6" s="2"/>
      <c r="I6" s="21">
        <f>'Insurance Premium'!D7</f>
        <v>0</v>
      </c>
      <c r="J6" s="21">
        <f>'Insurance Premium'!E7</f>
        <v>0</v>
      </c>
      <c r="K6" s="318">
        <f>'Insurance Premium'!F7</f>
        <v>0</v>
      </c>
    </row>
    <row r="7" spans="1:11" ht="36.75" customHeight="1">
      <c r="A7" s="275" t="s">
        <v>293</v>
      </c>
      <c r="B7" s="42">
        <v>0</v>
      </c>
      <c r="C7" s="42">
        <v>0</v>
      </c>
      <c r="D7" s="154">
        <v>0</v>
      </c>
      <c r="F7" s="2"/>
      <c r="G7" s="2"/>
      <c r="H7" s="2"/>
      <c r="I7" s="2"/>
      <c r="J7" s="2"/>
      <c r="K7" s="2"/>
    </row>
    <row r="8" spans="1:11" ht="35.25" customHeight="1">
      <c r="A8" s="333" t="s">
        <v>294</v>
      </c>
      <c r="B8" s="364">
        <f>'Insurance Premium'!D9</f>
        <v>0</v>
      </c>
      <c r="C8" s="364">
        <f>'Insurance Premium'!E9</f>
        <v>0</v>
      </c>
      <c r="D8" s="366">
        <f>'Insurance Premium'!F9</f>
        <v>0</v>
      </c>
      <c r="E8" s="150" t="s">
        <v>7</v>
      </c>
      <c r="F8" s="2" t="s">
        <v>7</v>
      </c>
      <c r="G8" s="2"/>
      <c r="H8" s="2"/>
      <c r="I8" s="21">
        <f>'Insurance Premium'!D9</f>
        <v>0</v>
      </c>
      <c r="J8" s="21">
        <f>'Insurance Premium'!E9</f>
        <v>0</v>
      </c>
      <c r="K8" s="318">
        <f>'Insurance Premium'!F9</f>
        <v>0</v>
      </c>
    </row>
    <row r="9" spans="1:11" ht="33.75" customHeight="1">
      <c r="A9" s="275" t="s">
        <v>172</v>
      </c>
      <c r="B9" s="364">
        <f>'Insurance Premium'!D10</f>
        <v>0</v>
      </c>
      <c r="C9" s="364">
        <f>'Insurance Premium'!E10</f>
        <v>0</v>
      </c>
      <c r="D9" s="311"/>
      <c r="E9" s="2" t="s">
        <v>7</v>
      </c>
      <c r="F9" s="2"/>
      <c r="G9" s="2"/>
      <c r="H9" s="2"/>
      <c r="I9" s="21">
        <f>'Insurance Premium'!D10</f>
        <v>0</v>
      </c>
      <c r="J9" s="21">
        <f>'Insurance Premium'!E10</f>
        <v>0</v>
      </c>
      <c r="K9" s="2"/>
    </row>
    <row r="10" spans="1:11" ht="180" customHeight="1" thickBot="1">
      <c r="A10" s="334" t="s">
        <v>326</v>
      </c>
      <c r="B10" s="367">
        <f>'Insurance Premium'!D11</f>
        <v>0</v>
      </c>
      <c r="C10" s="367">
        <f>'Insurance Premium'!E11</f>
        <v>0</v>
      </c>
      <c r="D10" s="312"/>
      <c r="E10" s="2" t="s">
        <v>7</v>
      </c>
      <c r="F10" s="2"/>
      <c r="G10" s="2"/>
      <c r="H10" s="2"/>
      <c r="I10" s="21">
        <f>'Insurance Premium'!D11</f>
        <v>0</v>
      </c>
      <c r="J10" s="21">
        <f>'Insurance Premium'!E11</f>
        <v>0</v>
      </c>
      <c r="K10" s="2"/>
    </row>
    <row r="11" ht="13.5" thickTop="1"/>
  </sheetData>
  <sheetProtection sheet="1" objects="1" scenarios="1"/>
  <mergeCells count="2">
    <mergeCell ref="A1:D1"/>
    <mergeCell ref="I1:L1"/>
  </mergeCells>
  <dataValidations count="27">
    <dataValidation allowBlank="1" showInputMessage="1" showErrorMessage="1" promptTitle="Insurance Premium Worksheet " prompt="Column A has no entry fields.  Column B is to enter Father's information if available.  Column C is to enter Mother's information if available.  Column D is to enter Other custodian's information if available." error="Press ESC key then TAB to entry cells." sqref="I1:L1"/>
    <dataValidation allowBlank="1" showInputMessage="1" showErrorMessage="1" prompt="Enter the Father's actual monthly health insurance premium cost paid." sqref="B3"/>
    <dataValidation allowBlank="1" showInputMessage="1" showErrorMessage="1" prompt="Enter the Mother's actual monthly health insurance premium cost paid." sqref="C3"/>
    <dataValidation allowBlank="1" showInputMessage="1" showErrorMessage="1" prompt="Enter the Other custodian's actual monthly health insurance premium cost paid." sqref="D3"/>
    <dataValidation allowBlank="1" showInputMessage="1" showErrorMessage="1" prompt="Enter the Father's cost of insurance for the adults only." sqref="B4"/>
    <dataValidation allowBlank="1" showInputMessage="1" showErrorMessage="1" prompt="Enter the Mother's cost of insurance for the adults only." sqref="C4"/>
    <dataValidation allowBlank="1" showInputMessage="1" showErrorMessage="1" prompt="Enter the Other custodian's cost of insurance for the adults only." sqref="D4"/>
    <dataValidation allowBlank="1" showInputMessage="1" showErrorMessage="1" prompt="Enter the Father's number of dependent children being covered." sqref="B5"/>
    <dataValidation allowBlank="1" showInputMessage="1" showErrorMessage="1" prompt="Enter the Mother's number of dependent children being covered." sqref="C5"/>
    <dataValidation allowBlank="1" showInputMessage="1" showErrorMessage="1" prompt="Enter the Other custodian's number of dependent children being covered." sqref="D5"/>
    <dataValidation allowBlank="1" showInputMessage="1" showErrorMessage="1" prompt="Enter the number of children for the Father on this order." sqref="B7"/>
    <dataValidation allowBlank="1" showInputMessage="1" showErrorMessage="1" prompt="Enter the number of children for the Mother on this order." sqref="C7"/>
    <dataValidation allowBlank="1" showInputMessage="1" showErrorMessage="1" prompt="Enter the number of children for the Other custodian on this order." sqref="D7"/>
    <dataValidation allowBlank="1" showInputMessage="1" showErrorMessage="1" prompt="This is Father's calculated premium cost per child." sqref="I8:I10 I6"/>
    <dataValidation allowBlank="1" showInputMessage="1" showErrorMessage="1" prompt="This is Mother's calculated premium cost per child." sqref="J8:J10 J6"/>
    <dataValidation allowBlank="1" showInputMessage="1" showErrorMessage="1" prompt="This is the Other custodian's calculated premium cost per child." sqref="K8 K6"/>
    <dataValidation type="custom" allowBlank="1" showInputMessage="1" showErrorMessage="1" promptTitle="Not an entry field" prompt="This is the calculated monthly health insurance premium cost for the Father." error="Press Esc then Tab" sqref="B8">
      <formula1>"i8"</formula1>
    </dataValidation>
    <dataValidation type="custom" allowBlank="1" showInputMessage="1" showErrorMessage="1" promptTitle="Not an entry field" prompt="This is the calculated monthly health insurance premium cost for the Mother." error="Press Esc then Tab" sqref="C8">
      <formula1>"j8"</formula1>
    </dataValidation>
    <dataValidation type="custom" allowBlank="1" showInputMessage="1" showErrorMessage="1" promptTitle="Not an entry field" prompt="This is the calculated monthly health insurance premium cost for the Other custodian." error="Press Esc then Tab" sqref="D8">
      <formula1>"k8"</formula1>
    </dataValidation>
    <dataValidation type="custom" allowBlank="1" showInputMessage="1" showErrorMessage="1" promptTitle="Not an entry field" prompt="This is the calculated monthly health insurance share for the Father." error="Press Esc then Tab" sqref="B9">
      <formula1>"i9"</formula1>
    </dataValidation>
    <dataValidation type="custom" allowBlank="1" showInputMessage="1" showErrorMessage="1" promptTitle="Not an entry field" prompt="This is the calculated monthly health insurance share for the Mother." error="Press Esc then Tab" sqref="C9">
      <formula1>"j9"</formula1>
    </dataValidation>
    <dataValidation type="custom" allowBlank="1" showInputMessage="1" showErrorMessage="1" promptTitle="Not an entry field" prompt="This is the calculated 5% of the Father's gross monthly income." error="Press Esc then Tab" sqref="B10">
      <formula1>"i10"</formula1>
    </dataValidation>
    <dataValidation type="custom" allowBlank="1" showInputMessage="1" showErrorMessage="1" promptTitle="Not an entry field" prompt="This is the calculated 5% of the Mother's gross monthly income." error="Press ESC then Tab" sqref="C10">
      <formula1>"i10"</formula1>
    </dataValidation>
    <dataValidation type="custom" allowBlank="1" showInputMessage="1" showErrorMessage="1" promptTitle="Insurance Premium Worksheet " prompt="Column A has no entry fields.  Column B is to enter Father's information if available.  Column C is to enter Mother's information if available.  Column D is to enter Other custodian's information if available." error="Press ESC key then TAB to entry cells." sqref="A1:D1">
      <formula1>"I1"</formula1>
    </dataValidation>
    <dataValidation type="custom" allowBlank="1" showInputMessage="1" showErrorMessage="1" promptTitle="Not an entry field" prompt="This is Father's calculated premium cost per child." error="Press Esc then Tab" sqref="B6">
      <formula1>"i6"</formula1>
    </dataValidation>
    <dataValidation type="custom" allowBlank="1" showInputMessage="1" showErrorMessage="1" promptTitle="Not an entry field" prompt="This is Mother's calculated premium cost per child." error="Press Esc then Tab" sqref="C6">
      <formula1>"j6"</formula1>
    </dataValidation>
    <dataValidation type="custom" allowBlank="1" showInputMessage="1" showErrorMessage="1" promptTitle="Not an entry field" prompt="This is the Other custodian's calculated premium cost per child." error="Press Esc then Tab " sqref="D6">
      <formula1>"k6"</formula1>
    </dataValidation>
  </dataValidation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4" transitionEvaluation="1" transitionEntry="1"/>
  <dimension ref="A1:AD299"/>
  <sheetViews>
    <sheetView showGridLines="0" workbookViewId="0" topLeftCell="A1">
      <pane ySplit="8" topLeftCell="BM255" activePane="bottomLeft" state="frozen"/>
      <selection pane="topLeft" activeCell="A2" sqref="A2"/>
      <selection pane="bottomLeft" activeCell="A1" sqref="A1"/>
    </sheetView>
  </sheetViews>
  <sheetFormatPr defaultColWidth="11.00390625" defaultRowHeight="12.75"/>
  <cols>
    <col min="1" max="1" width="12.140625" style="48" customWidth="1"/>
    <col min="2" max="2" width="5.57421875" style="48" customWidth="1"/>
    <col min="3" max="3" width="11.00390625" style="48" customWidth="1"/>
    <col min="4" max="9" width="12.140625" style="48" customWidth="1"/>
    <col min="10" max="11" width="11.00390625" style="48" customWidth="1"/>
    <col min="12" max="12" width="9.8515625" style="48" customWidth="1"/>
    <col min="13" max="13" width="3.00390625" style="48" customWidth="1"/>
    <col min="14" max="16384" width="11.00390625" style="48" customWidth="1"/>
  </cols>
  <sheetData>
    <row r="1" spans="1:27" ht="21.75" customHeight="1">
      <c r="A1" s="43" t="s">
        <v>22</v>
      </c>
      <c r="B1" s="44"/>
      <c r="C1" s="45"/>
      <c r="D1" s="45"/>
      <c r="E1" s="46"/>
      <c r="F1" s="45"/>
      <c r="G1" s="45"/>
      <c r="H1" s="47" t="s">
        <v>23</v>
      </c>
      <c r="AA1" s="49"/>
    </row>
    <row r="2" spans="1:27" ht="19.5">
      <c r="A2" s="50"/>
      <c r="B2" s="51"/>
      <c r="C2" s="51"/>
      <c r="D2" s="51"/>
      <c r="E2" s="52" t="s">
        <v>24</v>
      </c>
      <c r="F2" s="51"/>
      <c r="G2" s="51"/>
      <c r="H2" s="53"/>
      <c r="I2" s="54"/>
      <c r="AA2" s="49"/>
    </row>
    <row r="3" spans="1:27" ht="3" customHeight="1">
      <c r="A3" s="55"/>
      <c r="B3" s="56"/>
      <c r="C3" s="57"/>
      <c r="D3" s="57"/>
      <c r="E3" s="57"/>
      <c r="F3" s="57"/>
      <c r="G3" s="57"/>
      <c r="H3" s="58"/>
      <c r="AA3" s="49"/>
    </row>
    <row r="4" spans="1:23" ht="15.75">
      <c r="A4" s="59"/>
      <c r="B4" s="60"/>
      <c r="C4" s="60"/>
      <c r="D4" s="60"/>
      <c r="E4" s="61" t="s">
        <v>25</v>
      </c>
      <c r="F4" s="60"/>
      <c r="G4" s="60"/>
      <c r="H4" s="62"/>
      <c r="M4" s="63"/>
      <c r="W4" s="49"/>
    </row>
    <row r="5" spans="1:23" ht="12">
      <c r="A5" s="59" t="s">
        <v>26</v>
      </c>
      <c r="B5" s="60"/>
      <c r="C5" s="60"/>
      <c r="D5" s="64"/>
      <c r="E5" s="65"/>
      <c r="F5" s="64"/>
      <c r="G5" s="60"/>
      <c r="H5" s="62"/>
      <c r="M5" s="63"/>
      <c r="W5" s="49"/>
    </row>
    <row r="6" spans="1:30" ht="12">
      <c r="A6" s="59" t="s">
        <v>27</v>
      </c>
      <c r="B6" s="60"/>
      <c r="C6" s="60"/>
      <c r="D6" s="60"/>
      <c r="E6" s="65"/>
      <c r="F6" s="60"/>
      <c r="G6" s="60"/>
      <c r="H6" s="62"/>
      <c r="M6" s="63"/>
      <c r="W6" s="49"/>
      <c r="Y6" s="49"/>
      <c r="Z6" s="49"/>
      <c r="AA6" s="49"/>
      <c r="AB6" s="49"/>
      <c r="AC6" s="49"/>
      <c r="AD6" s="49"/>
    </row>
    <row r="7" spans="1:30" ht="12">
      <c r="A7" s="59" t="s">
        <v>28</v>
      </c>
      <c r="B7" s="60"/>
      <c r="C7" s="66" t="s">
        <v>29</v>
      </c>
      <c r="D7" s="66" t="s">
        <v>30</v>
      </c>
      <c r="E7" s="66" t="s">
        <v>31</v>
      </c>
      <c r="F7" s="66" t="s">
        <v>32</v>
      </c>
      <c r="G7" s="66" t="s">
        <v>33</v>
      </c>
      <c r="H7" s="67" t="s">
        <v>34</v>
      </c>
      <c r="M7" s="63"/>
      <c r="W7" s="49"/>
      <c r="Y7" s="49"/>
      <c r="Z7" s="49"/>
      <c r="AA7" s="49"/>
      <c r="AB7" s="49"/>
      <c r="AC7" s="49"/>
      <c r="AD7" s="49"/>
    </row>
    <row r="8" spans="1:8" ht="12.75" thickBot="1">
      <c r="A8" s="68" t="s">
        <v>35</v>
      </c>
      <c r="B8" s="60"/>
      <c r="C8" s="69" t="s">
        <v>36</v>
      </c>
      <c r="D8" s="69" t="s">
        <v>37</v>
      </c>
      <c r="E8" s="69" t="s">
        <v>37</v>
      </c>
      <c r="F8" s="69" t="s">
        <v>37</v>
      </c>
      <c r="G8" s="69" t="s">
        <v>37</v>
      </c>
      <c r="H8" s="70" t="s">
        <v>37</v>
      </c>
    </row>
    <row r="9" spans="1:8" ht="12.75">
      <c r="A9" s="71">
        <v>0</v>
      </c>
      <c r="B9" s="72"/>
      <c r="C9" s="73">
        <v>50</v>
      </c>
      <c r="D9" s="73">
        <v>50</v>
      </c>
      <c r="E9" s="73">
        <v>50</v>
      </c>
      <c r="F9" s="73">
        <v>50</v>
      </c>
      <c r="G9" s="73">
        <v>50</v>
      </c>
      <c r="H9" s="73">
        <v>50</v>
      </c>
    </row>
    <row r="10" spans="1:8" ht="12.75">
      <c r="A10" s="74">
        <v>600</v>
      </c>
      <c r="B10" s="75"/>
      <c r="C10" s="73">
        <v>50</v>
      </c>
      <c r="D10" s="73">
        <v>50</v>
      </c>
      <c r="E10" s="73">
        <v>50</v>
      </c>
      <c r="F10" s="73">
        <v>50</v>
      </c>
      <c r="G10" s="73">
        <v>50</v>
      </c>
      <c r="H10" s="73">
        <v>50</v>
      </c>
    </row>
    <row r="11" spans="1:30" ht="12.75">
      <c r="A11" s="74">
        <v>650</v>
      </c>
      <c r="B11" s="75"/>
      <c r="C11" s="73">
        <v>50</v>
      </c>
      <c r="D11" s="73">
        <v>50</v>
      </c>
      <c r="E11" s="73">
        <v>50</v>
      </c>
      <c r="F11" s="73">
        <v>88</v>
      </c>
      <c r="G11" s="73">
        <v>118</v>
      </c>
      <c r="H11" s="73">
        <v>141.3748833333333</v>
      </c>
      <c r="K11" s="63"/>
      <c r="L11" s="63"/>
      <c r="M11" s="63"/>
      <c r="N11" s="63"/>
      <c r="O11" s="63"/>
      <c r="P11" s="63"/>
      <c r="Q11" s="63"/>
      <c r="R11" s="63"/>
      <c r="S11" s="63"/>
      <c r="W11" s="63"/>
      <c r="Y11" s="76"/>
      <c r="Z11" s="76"/>
      <c r="AA11" s="76"/>
      <c r="AB11" s="76"/>
      <c r="AC11" s="76"/>
      <c r="AD11" s="76"/>
    </row>
    <row r="12" spans="1:30" ht="12.75">
      <c r="A12" s="77">
        <v>700</v>
      </c>
      <c r="B12" s="75"/>
      <c r="C12" s="73">
        <v>50</v>
      </c>
      <c r="D12" s="73">
        <v>50</v>
      </c>
      <c r="E12" s="73">
        <v>101.30641333333337</v>
      </c>
      <c r="F12" s="73">
        <v>122</v>
      </c>
      <c r="G12" s="73">
        <v>154</v>
      </c>
      <c r="H12" s="73">
        <v>175.85988333333336</v>
      </c>
      <c r="K12" s="63"/>
      <c r="L12" s="63"/>
      <c r="M12" s="63"/>
      <c r="N12" s="63"/>
      <c r="O12" s="63"/>
      <c r="P12" s="63"/>
      <c r="Q12" s="63"/>
      <c r="R12" s="63"/>
      <c r="S12" s="63"/>
      <c r="W12" s="63"/>
      <c r="Y12" s="76"/>
      <c r="Z12" s="76"/>
      <c r="AA12" s="76"/>
      <c r="AB12" s="76"/>
      <c r="AC12" s="76"/>
      <c r="AD12" s="76"/>
    </row>
    <row r="13" spans="1:30" ht="12.75">
      <c r="A13" s="77">
        <v>750</v>
      </c>
      <c r="B13" s="75"/>
      <c r="C13" s="73">
        <v>61.147499999999944</v>
      </c>
      <c r="D13" s="73">
        <v>107.32691666666662</v>
      </c>
      <c r="E13" s="73">
        <v>131.5063333333333</v>
      </c>
      <c r="F13" s="73">
        <v>156.18574999999996</v>
      </c>
      <c r="G13" s="73">
        <v>198</v>
      </c>
      <c r="H13" s="73">
        <v>207.04458333333326</v>
      </c>
      <c r="K13" s="63"/>
      <c r="L13" s="63"/>
      <c r="M13" s="63"/>
      <c r="N13" s="63"/>
      <c r="O13" s="63"/>
      <c r="P13" s="63"/>
      <c r="Q13" s="63"/>
      <c r="R13" s="63"/>
      <c r="S13" s="63"/>
      <c r="W13" s="63"/>
      <c r="Y13" s="76"/>
      <c r="Z13" s="76"/>
      <c r="AA13" s="76"/>
      <c r="AB13" s="76"/>
      <c r="AC13" s="76"/>
      <c r="AD13" s="76"/>
    </row>
    <row r="14" spans="1:30" ht="12.75">
      <c r="A14" s="77">
        <v>800</v>
      </c>
      <c r="B14" s="75"/>
      <c r="C14" s="73">
        <v>94.0425</v>
      </c>
      <c r="D14" s="73">
        <v>140.58741666666668</v>
      </c>
      <c r="E14" s="73">
        <v>165.13233333333335</v>
      </c>
      <c r="F14" s="73">
        <v>190.17725000000002</v>
      </c>
      <c r="G14" s="73">
        <v>239.22216666666665</v>
      </c>
      <c r="H14" s="73">
        <v>241.76708333333332</v>
      </c>
      <c r="K14" s="63"/>
      <c r="L14" s="63"/>
      <c r="M14" s="63"/>
      <c r="N14" s="63"/>
      <c r="O14" s="63"/>
      <c r="P14" s="63"/>
      <c r="Q14" s="63"/>
      <c r="R14" s="63"/>
      <c r="S14" s="63"/>
      <c r="W14" s="63"/>
      <c r="Y14" s="76"/>
      <c r="Z14" s="76"/>
      <c r="AA14" s="76"/>
      <c r="AB14" s="76"/>
      <c r="AC14" s="76"/>
      <c r="AD14" s="76"/>
    </row>
    <row r="15" spans="1:30" ht="12.75">
      <c r="A15" s="77">
        <v>850</v>
      </c>
      <c r="B15" s="75"/>
      <c r="C15" s="73">
        <v>126.9375</v>
      </c>
      <c r="D15" s="73">
        <v>173.84791666666663</v>
      </c>
      <c r="E15" s="73">
        <v>198.7583333333333</v>
      </c>
      <c r="F15" s="73">
        <v>224.16875</v>
      </c>
      <c r="G15" s="73">
        <v>273.5791666666666</v>
      </c>
      <c r="H15" s="73">
        <v>276.48958333333326</v>
      </c>
      <c r="K15" s="63"/>
      <c r="L15" s="63"/>
      <c r="M15" s="63"/>
      <c r="N15" s="63"/>
      <c r="O15" s="63"/>
      <c r="P15" s="63"/>
      <c r="Q15" s="63"/>
      <c r="R15" s="63"/>
      <c r="S15" s="63"/>
      <c r="W15" s="63"/>
      <c r="Y15" s="76"/>
      <c r="Z15" s="76"/>
      <c r="AA15" s="76"/>
      <c r="AB15" s="76"/>
      <c r="AC15" s="76"/>
      <c r="AD15" s="76"/>
    </row>
    <row r="16" spans="1:30" ht="12.75">
      <c r="A16" s="77">
        <v>900</v>
      </c>
      <c r="B16" s="75"/>
      <c r="C16" s="73">
        <v>159.4725</v>
      </c>
      <c r="D16" s="73">
        <v>206.74441666666672</v>
      </c>
      <c r="E16" s="73">
        <v>232.0163333333334</v>
      </c>
      <c r="F16" s="73">
        <v>257.78825000000006</v>
      </c>
      <c r="G16" s="73">
        <v>307.5601666666667</v>
      </c>
      <c r="H16" s="73">
        <v>310.83208333333334</v>
      </c>
      <c r="K16" s="63"/>
      <c r="L16" s="63"/>
      <c r="M16" s="63"/>
      <c r="N16" s="63"/>
      <c r="O16" s="63"/>
      <c r="P16" s="63"/>
      <c r="Q16" s="63"/>
      <c r="R16" s="63"/>
      <c r="S16" s="63"/>
      <c r="W16" s="63"/>
      <c r="Y16" s="76"/>
      <c r="Z16" s="76"/>
      <c r="AA16" s="76"/>
      <c r="AB16" s="76"/>
      <c r="AC16" s="76"/>
      <c r="AD16" s="76"/>
    </row>
    <row r="17" spans="1:30" ht="12.75">
      <c r="A17" s="77">
        <v>950</v>
      </c>
      <c r="B17" s="75"/>
      <c r="C17" s="73">
        <v>191.985</v>
      </c>
      <c r="D17" s="73">
        <v>239.6181666666666</v>
      </c>
      <c r="E17" s="73">
        <v>265.25133333333326</v>
      </c>
      <c r="F17" s="73">
        <v>291.38449999999995</v>
      </c>
      <c r="G17" s="73">
        <v>341.51766666666657</v>
      </c>
      <c r="H17" s="73">
        <v>345.15083333333325</v>
      </c>
      <c r="K17" s="63"/>
      <c r="L17" s="63"/>
      <c r="M17" s="63"/>
      <c r="N17" s="63"/>
      <c r="O17" s="63"/>
      <c r="P17" s="63"/>
      <c r="Q17" s="63"/>
      <c r="R17" s="63"/>
      <c r="S17" s="63"/>
      <c r="W17" s="63"/>
      <c r="Y17" s="76"/>
      <c r="Z17" s="76"/>
      <c r="AA17" s="76"/>
      <c r="AB17" s="76"/>
      <c r="AC17" s="76"/>
      <c r="AD17" s="76"/>
    </row>
    <row r="18" spans="1:30" ht="12.75">
      <c r="A18" s="77">
        <v>1000</v>
      </c>
      <c r="B18" s="75"/>
      <c r="C18" s="73">
        <v>206.34898287116664</v>
      </c>
      <c r="D18" s="73">
        <v>272.4919166666666</v>
      </c>
      <c r="E18" s="73">
        <v>298.4863333333333</v>
      </c>
      <c r="F18" s="73">
        <v>324.98074999999994</v>
      </c>
      <c r="G18" s="73">
        <v>375.4751666666666</v>
      </c>
      <c r="H18" s="73">
        <v>379.4695833333333</v>
      </c>
      <c r="K18" s="63"/>
      <c r="L18" s="63"/>
      <c r="M18" s="63"/>
      <c r="N18" s="63"/>
      <c r="O18" s="63"/>
      <c r="P18" s="63"/>
      <c r="Q18" s="63"/>
      <c r="R18" s="63"/>
      <c r="S18" s="63"/>
      <c r="W18" s="63"/>
      <c r="Y18" s="76"/>
      <c r="Z18" s="76"/>
      <c r="AA18" s="76"/>
      <c r="AB18" s="76"/>
      <c r="AC18" s="76"/>
      <c r="AD18" s="76"/>
    </row>
    <row r="19" spans="1:30" ht="13.5" thickBot="1">
      <c r="A19" s="77">
        <v>1050</v>
      </c>
      <c r="B19" s="75"/>
      <c r="C19" s="78">
        <v>215.02032118199998</v>
      </c>
      <c r="D19" s="73">
        <v>305.36566666666664</v>
      </c>
      <c r="E19" s="73">
        <v>331.7213333333333</v>
      </c>
      <c r="F19" s="73">
        <v>358.57699999999994</v>
      </c>
      <c r="G19" s="73">
        <v>409.4326666666666</v>
      </c>
      <c r="H19" s="73">
        <v>413.78833333333324</v>
      </c>
      <c r="K19" s="63"/>
      <c r="L19" s="63"/>
      <c r="M19" s="63"/>
      <c r="N19" s="63"/>
      <c r="O19" s="63"/>
      <c r="P19" s="63"/>
      <c r="Q19" s="63"/>
      <c r="R19" s="63"/>
      <c r="S19" s="63"/>
      <c r="W19" s="63"/>
      <c r="Y19" s="76"/>
      <c r="Z19" s="76"/>
      <c r="AA19" s="76"/>
      <c r="AB19" s="76"/>
      <c r="AC19" s="76"/>
      <c r="AD19" s="76"/>
    </row>
    <row r="20" spans="1:30" ht="12.75">
      <c r="A20" s="77">
        <v>1100</v>
      </c>
      <c r="B20" s="75"/>
      <c r="C20" s="79">
        <v>223.64765270094443</v>
      </c>
      <c r="D20" s="80">
        <v>326.1057205956111</v>
      </c>
      <c r="E20" s="81">
        <v>364.78766666666667</v>
      </c>
      <c r="F20" s="81">
        <v>392.00275</v>
      </c>
      <c r="G20" s="81">
        <v>443.2178333333333</v>
      </c>
      <c r="H20" s="81">
        <v>447.93291666666664</v>
      </c>
      <c r="K20" s="63"/>
      <c r="L20" s="63"/>
      <c r="M20" s="63"/>
      <c r="N20" s="63"/>
      <c r="O20" s="63"/>
      <c r="P20" s="63"/>
      <c r="Q20" s="63"/>
      <c r="R20" s="63"/>
      <c r="S20" s="63"/>
      <c r="W20" s="63"/>
      <c r="Y20" s="76"/>
      <c r="Z20" s="76"/>
      <c r="AA20" s="76"/>
      <c r="AB20" s="76"/>
      <c r="AC20" s="76"/>
      <c r="AD20" s="76"/>
    </row>
    <row r="21" spans="1:30" ht="13.5" thickBot="1">
      <c r="A21" s="77">
        <v>1150</v>
      </c>
      <c r="B21" s="75"/>
      <c r="C21" s="82">
        <v>232.11896013955555</v>
      </c>
      <c r="D21" s="83">
        <v>338.4330858808888</v>
      </c>
      <c r="E21" s="81">
        <v>397.256</v>
      </c>
      <c r="F21" s="81">
        <v>424.82399999999996</v>
      </c>
      <c r="G21" s="81">
        <v>476.39199999999994</v>
      </c>
      <c r="H21" s="81">
        <v>481.46</v>
      </c>
      <c r="K21" s="63"/>
      <c r="L21" s="63"/>
      <c r="M21" s="63"/>
      <c r="N21" s="63"/>
      <c r="O21" s="63"/>
      <c r="P21" s="63"/>
      <c r="Q21" s="63"/>
      <c r="R21" s="63"/>
      <c r="S21" s="63"/>
      <c r="W21" s="63"/>
      <c r="Y21" s="76"/>
      <c r="Z21" s="76"/>
      <c r="AA21" s="76"/>
      <c r="AB21" s="76"/>
      <c r="AC21" s="76"/>
      <c r="AD21" s="76"/>
    </row>
    <row r="22" spans="1:30" ht="13.5" thickBot="1">
      <c r="A22" s="77">
        <v>1200</v>
      </c>
      <c r="B22" s="75"/>
      <c r="C22" s="77">
        <v>240.5622632560556</v>
      </c>
      <c r="D22" s="79">
        <v>350.7196995453889</v>
      </c>
      <c r="E22" s="83">
        <v>415.3155378836667</v>
      </c>
      <c r="F22" s="84">
        <v>457.53675000000004</v>
      </c>
      <c r="G22" s="84">
        <v>497.4732575878138</v>
      </c>
      <c r="H22" s="84">
        <v>514.87625</v>
      </c>
      <c r="K22" s="63"/>
      <c r="L22" s="63"/>
      <c r="M22" s="63"/>
      <c r="N22" s="63"/>
      <c r="O22" s="63"/>
      <c r="P22" s="63"/>
      <c r="Q22" s="63"/>
      <c r="R22" s="63"/>
      <c r="S22" s="63"/>
      <c r="W22" s="63"/>
      <c r="Y22" s="76"/>
      <c r="Z22" s="76"/>
      <c r="AA22" s="76"/>
      <c r="AB22" s="76"/>
      <c r="AC22" s="76"/>
      <c r="AD22" s="76"/>
    </row>
    <row r="23" spans="1:30" ht="12.75">
      <c r="A23" s="77">
        <v>1250</v>
      </c>
      <c r="B23" s="75"/>
      <c r="C23" s="77">
        <v>249.00556637255556</v>
      </c>
      <c r="D23" s="77">
        <v>363.00631320988884</v>
      </c>
      <c r="E23" s="85">
        <v>429.8476290446667</v>
      </c>
      <c r="F23" s="79">
        <v>474.9816300943567</v>
      </c>
      <c r="G23" s="79">
        <v>514.8800870222829</v>
      </c>
      <c r="H23" s="85">
        <v>550.9216931138426</v>
      </c>
      <c r="K23" s="63"/>
      <c r="L23" s="63"/>
      <c r="M23" s="63"/>
      <c r="N23" s="63"/>
      <c r="O23" s="63"/>
      <c r="P23" s="63"/>
      <c r="Q23" s="63"/>
      <c r="R23" s="63"/>
      <c r="S23" s="63"/>
      <c r="W23" s="63"/>
      <c r="Y23" s="76"/>
      <c r="Z23" s="76"/>
      <c r="AA23" s="76"/>
      <c r="AB23" s="76"/>
      <c r="AC23" s="76"/>
      <c r="AD23" s="76"/>
    </row>
    <row r="24" spans="1:30" ht="12.75">
      <c r="A24" s="77">
        <v>1300</v>
      </c>
      <c r="B24" s="75"/>
      <c r="C24" s="77">
        <v>257.06411842875</v>
      </c>
      <c r="D24" s="77">
        <v>374.6308990443334</v>
      </c>
      <c r="E24" s="77">
        <v>443.4910497317501</v>
      </c>
      <c r="F24" s="82">
        <v>490.05760995358384</v>
      </c>
      <c r="G24" s="79">
        <v>531.222449189685</v>
      </c>
      <c r="H24" s="77">
        <v>568.4080206329629</v>
      </c>
      <c r="K24" s="63"/>
      <c r="L24" s="63"/>
      <c r="M24" s="63"/>
      <c r="N24" s="63"/>
      <c r="O24" s="63"/>
      <c r="P24" s="63"/>
      <c r="Q24" s="63"/>
      <c r="R24" s="63"/>
      <c r="S24" s="63"/>
      <c r="W24" s="63"/>
      <c r="Y24" s="76"/>
      <c r="Z24" s="76"/>
      <c r="AA24" s="76"/>
      <c r="AB24" s="76"/>
      <c r="AC24" s="76"/>
      <c r="AD24" s="76"/>
    </row>
    <row r="25" spans="1:30" ht="12.75">
      <c r="A25" s="77">
        <v>1350</v>
      </c>
      <c r="B25" s="75"/>
      <c r="C25" s="77">
        <v>264.852304875</v>
      </c>
      <c r="D25" s="77">
        <v>385.79027613333335</v>
      </c>
      <c r="E25" s="77">
        <v>456.50999927500004</v>
      </c>
      <c r="F25" s="77">
        <v>504.4435491988751</v>
      </c>
      <c r="G25" s="79">
        <v>546.8168073315807</v>
      </c>
      <c r="H25" s="85">
        <v>585.0939838447913</v>
      </c>
      <c r="K25" s="63"/>
      <c r="L25" s="63"/>
      <c r="M25" s="63"/>
      <c r="N25" s="63"/>
      <c r="O25" s="63"/>
      <c r="P25" s="63"/>
      <c r="Q25" s="63"/>
      <c r="R25" s="63"/>
      <c r="S25" s="63"/>
      <c r="W25" s="63"/>
      <c r="Y25" s="76"/>
      <c r="Z25" s="76"/>
      <c r="AA25" s="76"/>
      <c r="AB25" s="76"/>
      <c r="AC25" s="76"/>
      <c r="AD25" s="76"/>
    </row>
    <row r="26" spans="1:30" ht="12.75">
      <c r="A26" s="77">
        <v>1400</v>
      </c>
      <c r="B26" s="75"/>
      <c r="C26" s="77">
        <v>272.64049132125</v>
      </c>
      <c r="D26" s="77">
        <v>396.9496532223333</v>
      </c>
      <c r="E26" s="77">
        <v>469.52894881825</v>
      </c>
      <c r="F26" s="77">
        <v>518.8294884441663</v>
      </c>
      <c r="G26" s="82">
        <v>562.4111654734763</v>
      </c>
      <c r="H26" s="77">
        <v>601.7799470566197</v>
      </c>
      <c r="K26" s="63"/>
      <c r="L26" s="63"/>
      <c r="M26" s="63"/>
      <c r="N26" s="63"/>
      <c r="O26" s="63"/>
      <c r="P26" s="63"/>
      <c r="Q26" s="63"/>
      <c r="R26" s="63"/>
      <c r="S26" s="63"/>
      <c r="W26" s="63"/>
      <c r="Y26" s="76"/>
      <c r="Z26" s="76"/>
      <c r="AA26" s="76"/>
      <c r="AB26" s="76"/>
      <c r="AC26" s="76"/>
      <c r="AD26" s="76"/>
    </row>
    <row r="27" spans="1:30" ht="12.75">
      <c r="A27" s="77">
        <v>1450</v>
      </c>
      <c r="B27" s="75"/>
      <c r="C27" s="77">
        <v>280.4286777675</v>
      </c>
      <c r="D27" s="77">
        <v>408.10903031133336</v>
      </c>
      <c r="E27" s="77">
        <v>482.5478983615</v>
      </c>
      <c r="F27" s="77">
        <v>533.2154276894576</v>
      </c>
      <c r="G27" s="77">
        <v>578.005523615372</v>
      </c>
      <c r="H27" s="85">
        <v>618.465910268448</v>
      </c>
      <c r="K27" s="63"/>
      <c r="L27" s="63"/>
      <c r="M27" s="63"/>
      <c r="N27" s="63"/>
      <c r="O27" s="63"/>
      <c r="P27" s="63"/>
      <c r="Q27" s="63"/>
      <c r="R27" s="63"/>
      <c r="S27" s="63"/>
      <c r="W27" s="63"/>
      <c r="Y27" s="76"/>
      <c r="Z27" s="76"/>
      <c r="AA27" s="76"/>
      <c r="AB27" s="76"/>
      <c r="AC27" s="76"/>
      <c r="AD27" s="76"/>
    </row>
    <row r="28" spans="1:30" ht="12.75">
      <c r="A28" s="77">
        <v>1500</v>
      </c>
      <c r="B28" s="75"/>
      <c r="C28" s="77">
        <v>288.21686421375006</v>
      </c>
      <c r="D28" s="77">
        <v>419.2684074003334</v>
      </c>
      <c r="E28" s="77">
        <v>495.56684790475003</v>
      </c>
      <c r="F28" s="77">
        <v>547.6013669347489</v>
      </c>
      <c r="G28" s="77">
        <v>593.5998817572678</v>
      </c>
      <c r="H28" s="77">
        <v>635.1518734802765</v>
      </c>
      <c r="K28" s="63"/>
      <c r="L28" s="63"/>
      <c r="M28" s="63"/>
      <c r="N28" s="63"/>
      <c r="O28" s="63"/>
      <c r="P28" s="63"/>
      <c r="Q28" s="63"/>
      <c r="R28" s="63"/>
      <c r="S28" s="63"/>
      <c r="W28" s="63"/>
      <c r="Y28" s="76"/>
      <c r="Z28" s="76"/>
      <c r="AA28" s="76"/>
      <c r="AB28" s="76"/>
      <c r="AC28" s="76"/>
      <c r="AD28" s="76"/>
    </row>
    <row r="29" spans="1:30" ht="12.75">
      <c r="A29" s="77">
        <v>1550</v>
      </c>
      <c r="B29" s="75"/>
      <c r="C29" s="77">
        <v>296.00505066000005</v>
      </c>
      <c r="D29" s="77">
        <v>430.42778448933336</v>
      </c>
      <c r="E29" s="77">
        <v>508.58579744800005</v>
      </c>
      <c r="F29" s="77">
        <v>561.98730618004</v>
      </c>
      <c r="G29" s="77">
        <v>609.1942398991634</v>
      </c>
      <c r="H29" s="77">
        <v>651.8378366921049</v>
      </c>
      <c r="K29" s="63"/>
      <c r="L29" s="63"/>
      <c r="M29" s="63"/>
      <c r="N29" s="63"/>
      <c r="O29" s="63"/>
      <c r="P29" s="63"/>
      <c r="Q29" s="63"/>
      <c r="R29" s="63"/>
      <c r="S29" s="63"/>
      <c r="W29" s="63"/>
      <c r="Y29" s="76"/>
      <c r="Z29" s="76"/>
      <c r="AA29" s="76"/>
      <c r="AB29" s="76"/>
      <c r="AC29" s="76"/>
      <c r="AD29" s="76"/>
    </row>
    <row r="30" spans="1:30" ht="12.75">
      <c r="A30" s="77">
        <v>1600</v>
      </c>
      <c r="B30" s="75"/>
      <c r="C30" s="77">
        <v>303.79323710625005</v>
      </c>
      <c r="D30" s="77">
        <v>441.5871615783334</v>
      </c>
      <c r="E30" s="77">
        <v>521.6047469912501</v>
      </c>
      <c r="F30" s="77">
        <v>576.3732454253313</v>
      </c>
      <c r="G30" s="77">
        <v>624.7885980410592</v>
      </c>
      <c r="H30" s="77">
        <v>668.5237999039333</v>
      </c>
      <c r="K30" s="63"/>
      <c r="L30" s="63"/>
      <c r="M30" s="63"/>
      <c r="N30" s="63"/>
      <c r="O30" s="63"/>
      <c r="P30" s="63"/>
      <c r="Q30" s="63"/>
      <c r="R30" s="63"/>
      <c r="S30" s="63"/>
      <c r="W30" s="63"/>
      <c r="Y30" s="76"/>
      <c r="Z30" s="76"/>
      <c r="AA30" s="76"/>
      <c r="AB30" s="76"/>
      <c r="AC30" s="76"/>
      <c r="AD30" s="76"/>
    </row>
    <row r="31" spans="1:30" ht="12.75">
      <c r="A31" s="77">
        <v>1650</v>
      </c>
      <c r="B31" s="75"/>
      <c r="C31" s="77">
        <v>311.58142355250004</v>
      </c>
      <c r="D31" s="77">
        <v>452.74653866733337</v>
      </c>
      <c r="E31" s="77">
        <v>534.6236965345</v>
      </c>
      <c r="F31" s="77">
        <v>590.7591846706225</v>
      </c>
      <c r="G31" s="77">
        <v>640.3829561829549</v>
      </c>
      <c r="H31" s="77">
        <v>685.2097631157617</v>
      </c>
      <c r="K31" s="63"/>
      <c r="L31" s="63"/>
      <c r="M31" s="63"/>
      <c r="N31" s="63"/>
      <c r="O31" s="63"/>
      <c r="P31" s="63"/>
      <c r="Q31" s="63"/>
      <c r="R31" s="63"/>
      <c r="S31" s="63"/>
      <c r="W31" s="63"/>
      <c r="Y31" s="76"/>
      <c r="Z31" s="76"/>
      <c r="AA31" s="76"/>
      <c r="AB31" s="76"/>
      <c r="AC31" s="76"/>
      <c r="AD31" s="76"/>
    </row>
    <row r="32" spans="1:30" ht="12.75">
      <c r="A32" s="77">
        <v>1700</v>
      </c>
      <c r="B32" s="75"/>
      <c r="C32" s="77">
        <v>319.36960999875004</v>
      </c>
      <c r="D32" s="77">
        <v>463.90591575633334</v>
      </c>
      <c r="E32" s="77">
        <v>547.64264607775</v>
      </c>
      <c r="F32" s="77">
        <v>605.1451239159137</v>
      </c>
      <c r="G32" s="77">
        <v>655.9773143248506</v>
      </c>
      <c r="H32" s="77">
        <v>701.8957263275901</v>
      </c>
      <c r="K32" s="63"/>
      <c r="L32" s="63"/>
      <c r="M32" s="63"/>
      <c r="N32" s="63"/>
      <c r="O32" s="63"/>
      <c r="P32" s="63"/>
      <c r="Q32" s="63"/>
      <c r="R32" s="63"/>
      <c r="S32" s="63"/>
      <c r="W32" s="63"/>
      <c r="Y32" s="76"/>
      <c r="Z32" s="76"/>
      <c r="AA32" s="76"/>
      <c r="AB32" s="76"/>
      <c r="AC32" s="76"/>
      <c r="AD32" s="76"/>
    </row>
    <row r="33" spans="1:30" ht="12.75">
      <c r="A33" s="77">
        <v>1750</v>
      </c>
      <c r="B33" s="75"/>
      <c r="C33" s="77">
        <v>327.15779644500003</v>
      </c>
      <c r="D33" s="77">
        <v>475.0652928453334</v>
      </c>
      <c r="E33" s="77">
        <v>560.6615956210001</v>
      </c>
      <c r="F33" s="77">
        <v>619.5310631612051</v>
      </c>
      <c r="G33" s="77">
        <v>671.5716724667463</v>
      </c>
      <c r="H33" s="77">
        <v>718.5816895394186</v>
      </c>
      <c r="K33" s="63"/>
      <c r="L33" s="63"/>
      <c r="M33" s="63"/>
      <c r="N33" s="63"/>
      <c r="O33" s="63"/>
      <c r="P33" s="63"/>
      <c r="Q33" s="63"/>
      <c r="R33" s="63"/>
      <c r="S33" s="63"/>
      <c r="W33" s="63"/>
      <c r="Y33" s="76"/>
      <c r="Z33" s="76"/>
      <c r="AA33" s="76"/>
      <c r="AB33" s="76"/>
      <c r="AC33" s="76"/>
      <c r="AD33" s="76"/>
    </row>
    <row r="34" spans="1:30" ht="12.75">
      <c r="A34" s="77">
        <v>1800</v>
      </c>
      <c r="B34" s="75"/>
      <c r="C34" s="77">
        <v>334.9459828912501</v>
      </c>
      <c r="D34" s="77">
        <v>486.2246699343334</v>
      </c>
      <c r="E34" s="77">
        <v>573.68054516425</v>
      </c>
      <c r="F34" s="77">
        <v>633.9170024064963</v>
      </c>
      <c r="G34" s="77">
        <v>687.166030608642</v>
      </c>
      <c r="H34" s="77">
        <v>735.2676527512469</v>
      </c>
      <c r="K34" s="63"/>
      <c r="L34" s="63"/>
      <c r="M34" s="63"/>
      <c r="N34" s="63"/>
      <c r="O34" s="63"/>
      <c r="P34" s="63"/>
      <c r="Q34" s="63"/>
      <c r="R34" s="63"/>
      <c r="S34" s="63"/>
      <c r="W34" s="63"/>
      <c r="Y34" s="76"/>
      <c r="Z34" s="76"/>
      <c r="AA34" s="76"/>
      <c r="AB34" s="76"/>
      <c r="AC34" s="76"/>
      <c r="AD34" s="76"/>
    </row>
    <row r="35" spans="1:30" ht="12.75">
      <c r="A35" s="77">
        <v>1850</v>
      </c>
      <c r="B35" s="75"/>
      <c r="C35" s="77">
        <v>342.7341693375</v>
      </c>
      <c r="D35" s="77">
        <v>497.3840470233334</v>
      </c>
      <c r="E35" s="77">
        <v>586.6994947075</v>
      </c>
      <c r="F35" s="77">
        <v>648.3029416517875</v>
      </c>
      <c r="G35" s="77">
        <v>702.7603887505377</v>
      </c>
      <c r="H35" s="77">
        <v>751.9536159630753</v>
      </c>
      <c r="K35" s="63"/>
      <c r="L35" s="63"/>
      <c r="M35" s="63"/>
      <c r="N35" s="63"/>
      <c r="O35" s="63"/>
      <c r="P35" s="63"/>
      <c r="Q35" s="63"/>
      <c r="R35" s="63"/>
      <c r="S35" s="63"/>
      <c r="W35" s="63"/>
      <c r="Y35" s="76"/>
      <c r="Z35" s="76"/>
      <c r="AA35" s="76"/>
      <c r="AB35" s="76"/>
      <c r="AC35" s="76"/>
      <c r="AD35" s="76"/>
    </row>
    <row r="36" spans="1:30" ht="12.75">
      <c r="A36" s="77">
        <v>1900</v>
      </c>
      <c r="B36" s="75"/>
      <c r="C36" s="77">
        <v>350.6029125</v>
      </c>
      <c r="D36" s="77">
        <v>508.6098775</v>
      </c>
      <c r="E36" s="77">
        <v>599.7257658333333</v>
      </c>
      <c r="F36" s="77">
        <v>662.6971799791667</v>
      </c>
      <c r="G36" s="77">
        <v>718.36423362075</v>
      </c>
      <c r="H36" s="77">
        <v>768.6481905658693</v>
      </c>
      <c r="K36" s="63"/>
      <c r="L36" s="63"/>
      <c r="M36" s="63"/>
      <c r="N36" s="63"/>
      <c r="O36" s="63"/>
      <c r="P36" s="63"/>
      <c r="Q36" s="63"/>
      <c r="R36" s="63"/>
      <c r="S36" s="63"/>
      <c r="W36" s="63"/>
      <c r="Y36" s="76"/>
      <c r="Z36" s="76"/>
      <c r="AA36" s="76"/>
      <c r="AB36" s="76"/>
      <c r="AC36" s="76"/>
      <c r="AD36" s="76"/>
    </row>
    <row r="37" spans="1:30" ht="12.75">
      <c r="A37" s="77">
        <v>1950</v>
      </c>
      <c r="B37" s="75"/>
      <c r="C37" s="77">
        <v>358.4997</v>
      </c>
      <c r="D37" s="77">
        <v>519.8588425</v>
      </c>
      <c r="E37" s="77">
        <v>612.7545858333333</v>
      </c>
      <c r="F37" s="77">
        <v>677.0943074791667</v>
      </c>
      <c r="G37" s="77">
        <v>733.97138112075</v>
      </c>
      <c r="H37" s="77">
        <v>785.3457630658693</v>
      </c>
      <c r="K37" s="63"/>
      <c r="L37" s="63"/>
      <c r="M37" s="63"/>
      <c r="N37" s="63"/>
      <c r="O37" s="63"/>
      <c r="P37" s="63"/>
      <c r="Q37" s="63"/>
      <c r="R37" s="63"/>
      <c r="S37" s="63"/>
      <c r="W37" s="63"/>
      <c r="Y37" s="76"/>
      <c r="Z37" s="76"/>
      <c r="AA37" s="76"/>
      <c r="AB37" s="76"/>
      <c r="AC37" s="76"/>
      <c r="AD37" s="76"/>
    </row>
    <row r="38" spans="1:30" ht="12.75">
      <c r="A38" s="77">
        <v>2000</v>
      </c>
      <c r="B38" s="75"/>
      <c r="C38" s="77">
        <v>366.39648750000003</v>
      </c>
      <c r="D38" s="77">
        <v>531.1078075</v>
      </c>
      <c r="E38" s="77">
        <v>625.7834058333334</v>
      </c>
      <c r="F38" s="77">
        <v>691.4914349791667</v>
      </c>
      <c r="G38" s="77">
        <v>749.57852862075</v>
      </c>
      <c r="H38" s="77">
        <v>802.0433355658693</v>
      </c>
      <c r="K38" s="63"/>
      <c r="L38" s="63"/>
      <c r="M38" s="63"/>
      <c r="N38" s="63"/>
      <c r="O38" s="63"/>
      <c r="P38" s="63"/>
      <c r="Q38" s="63"/>
      <c r="R38" s="63"/>
      <c r="S38" s="63"/>
      <c r="W38" s="63"/>
      <c r="Y38" s="76"/>
      <c r="Z38" s="76"/>
      <c r="AA38" s="76"/>
      <c r="AB38" s="76"/>
      <c r="AC38" s="76"/>
      <c r="AD38" s="76"/>
    </row>
    <row r="39" spans="1:30" ht="12.75">
      <c r="A39" s="77">
        <v>2050</v>
      </c>
      <c r="B39" s="75"/>
      <c r="C39" s="77">
        <v>374.29327500000005</v>
      </c>
      <c r="D39" s="77">
        <v>542.3567725</v>
      </c>
      <c r="E39" s="77">
        <v>638.8122258333333</v>
      </c>
      <c r="F39" s="77">
        <v>705.8885624791667</v>
      </c>
      <c r="G39" s="77">
        <v>765.18567612075</v>
      </c>
      <c r="H39" s="77">
        <v>818.7409080658692</v>
      </c>
      <c r="K39" s="63"/>
      <c r="L39" s="63"/>
      <c r="M39" s="63"/>
      <c r="N39" s="63"/>
      <c r="O39" s="63"/>
      <c r="P39" s="63"/>
      <c r="Q39" s="63"/>
      <c r="R39" s="63"/>
      <c r="S39" s="63"/>
      <c r="W39" s="63"/>
      <c r="Y39" s="76"/>
      <c r="Z39" s="76"/>
      <c r="AA39" s="76"/>
      <c r="AB39" s="76"/>
      <c r="AC39" s="76"/>
      <c r="AD39" s="76"/>
    </row>
    <row r="40" spans="1:30" ht="12.75">
      <c r="A40" s="77">
        <v>2100</v>
      </c>
      <c r="B40" s="75"/>
      <c r="C40" s="77">
        <v>382.1900625</v>
      </c>
      <c r="D40" s="77">
        <v>553.6057375</v>
      </c>
      <c r="E40" s="77">
        <v>651.8410458333333</v>
      </c>
      <c r="F40" s="77">
        <v>720.2856899791667</v>
      </c>
      <c r="G40" s="77">
        <v>780.79282362075</v>
      </c>
      <c r="H40" s="77">
        <v>835.4384805658692</v>
      </c>
      <c r="K40" s="63"/>
      <c r="L40" s="63"/>
      <c r="M40" s="86"/>
      <c r="N40" s="63"/>
      <c r="O40" s="63"/>
      <c r="P40" s="63"/>
      <c r="Q40" s="86"/>
      <c r="R40" s="63"/>
      <c r="S40" s="63"/>
      <c r="W40" s="63"/>
      <c r="Y40" s="76"/>
      <c r="Z40" s="76"/>
      <c r="AA40" s="76"/>
      <c r="AB40" s="76"/>
      <c r="AC40" s="76"/>
      <c r="AD40" s="76"/>
    </row>
    <row r="41" spans="1:30" ht="12.75">
      <c r="A41" s="77">
        <v>2150</v>
      </c>
      <c r="B41" s="75"/>
      <c r="C41" s="77">
        <v>390.08685</v>
      </c>
      <c r="D41" s="77">
        <v>564.8547025</v>
      </c>
      <c r="E41" s="77">
        <v>664.8698658333333</v>
      </c>
      <c r="F41" s="77">
        <v>734.6828174791667</v>
      </c>
      <c r="G41" s="77">
        <v>796.39997112075</v>
      </c>
      <c r="H41" s="77">
        <v>852.1360530658692</v>
      </c>
      <c r="K41" s="63"/>
      <c r="L41" s="86"/>
      <c r="M41" s="63"/>
      <c r="N41" s="87"/>
      <c r="O41" s="63"/>
      <c r="P41" s="86"/>
      <c r="Q41" s="63"/>
      <c r="R41" s="87"/>
      <c r="S41" s="63"/>
      <c r="W41" s="63"/>
      <c r="Y41" s="76"/>
      <c r="Z41" s="76"/>
      <c r="AA41" s="76"/>
      <c r="AB41" s="76"/>
      <c r="AC41" s="76"/>
      <c r="AD41" s="76"/>
    </row>
    <row r="42" spans="1:30" ht="12.75">
      <c r="A42" s="77">
        <v>2200</v>
      </c>
      <c r="B42" s="75"/>
      <c r="C42" s="77">
        <v>397.9836375</v>
      </c>
      <c r="D42" s="77">
        <v>576.1036675</v>
      </c>
      <c r="E42" s="77">
        <v>677.8986858333333</v>
      </c>
      <c r="F42" s="77">
        <v>749.0799449791666</v>
      </c>
      <c r="G42" s="77">
        <v>812.00711862075</v>
      </c>
      <c r="H42" s="77">
        <v>868.8336255658692</v>
      </c>
      <c r="K42" s="63"/>
      <c r="L42" s="86"/>
      <c r="M42" s="86"/>
      <c r="N42" s="63"/>
      <c r="O42" s="63"/>
      <c r="P42" s="86"/>
      <c r="Q42" s="86"/>
      <c r="R42" s="63"/>
      <c r="S42" s="63"/>
      <c r="W42" s="63"/>
      <c r="Y42" s="76"/>
      <c r="Z42" s="76"/>
      <c r="AA42" s="76"/>
      <c r="AB42" s="76"/>
      <c r="AC42" s="76"/>
      <c r="AD42" s="76"/>
    </row>
    <row r="43" spans="1:30" ht="12.75">
      <c r="A43" s="77">
        <v>2250</v>
      </c>
      <c r="B43" s="75"/>
      <c r="C43" s="77">
        <v>405.88042500000006</v>
      </c>
      <c r="D43" s="77">
        <v>587.3526325</v>
      </c>
      <c r="E43" s="77">
        <v>690.9275058333334</v>
      </c>
      <c r="F43" s="77">
        <v>763.4770724791667</v>
      </c>
      <c r="G43" s="77">
        <v>827.61426612075</v>
      </c>
      <c r="H43" s="77">
        <v>885.5311980658694</v>
      </c>
      <c r="K43" s="63"/>
      <c r="L43" s="63"/>
      <c r="M43" s="86"/>
      <c r="N43" s="63"/>
      <c r="O43" s="63"/>
      <c r="P43" s="63"/>
      <c r="Q43" s="86"/>
      <c r="R43" s="63"/>
      <c r="S43" s="63"/>
      <c r="W43" s="63"/>
      <c r="Y43" s="76"/>
      <c r="Z43" s="76"/>
      <c r="AA43" s="76"/>
      <c r="AB43" s="76"/>
      <c r="AC43" s="76"/>
      <c r="AD43" s="76"/>
    </row>
    <row r="44" spans="1:30" ht="12.75">
      <c r="A44" s="77">
        <v>2300</v>
      </c>
      <c r="B44" s="75"/>
      <c r="C44" s="77">
        <v>413.7772125</v>
      </c>
      <c r="D44" s="77">
        <v>598.6015975</v>
      </c>
      <c r="E44" s="77">
        <v>703.9563258333334</v>
      </c>
      <c r="F44" s="77">
        <v>777.8741999791666</v>
      </c>
      <c r="G44" s="77">
        <v>843.22141362075</v>
      </c>
      <c r="H44" s="77">
        <v>902.2287705658694</v>
      </c>
      <c r="K44" s="63"/>
      <c r="L44" s="63"/>
      <c r="M44" s="63"/>
      <c r="N44" s="88"/>
      <c r="O44" s="63"/>
      <c r="P44" s="63"/>
      <c r="Q44" s="63"/>
      <c r="R44" s="88"/>
      <c r="S44" s="63"/>
      <c r="W44" s="63"/>
      <c r="Y44" s="76"/>
      <c r="Z44" s="76"/>
      <c r="AA44" s="76"/>
      <c r="AB44" s="76"/>
      <c r="AC44" s="76"/>
      <c r="AD44" s="76"/>
    </row>
    <row r="45" spans="1:30" ht="12.75">
      <c r="A45" s="77">
        <v>2350</v>
      </c>
      <c r="B45" s="75"/>
      <c r="C45" s="77">
        <v>421.67400000000004</v>
      </c>
      <c r="D45" s="77">
        <v>609.8505625</v>
      </c>
      <c r="E45" s="77">
        <v>716.9851458333333</v>
      </c>
      <c r="F45" s="77">
        <v>792.2713274791666</v>
      </c>
      <c r="G45" s="77">
        <v>858.82856112075</v>
      </c>
      <c r="H45" s="77">
        <v>918.9263430658693</v>
      </c>
      <c r="K45" s="63"/>
      <c r="L45" s="63"/>
      <c r="M45" s="63"/>
      <c r="N45" s="88"/>
      <c r="O45" s="63"/>
      <c r="P45" s="63"/>
      <c r="Q45" s="63"/>
      <c r="R45" s="88"/>
      <c r="S45" s="63"/>
      <c r="W45" s="63"/>
      <c r="Y45" s="76"/>
      <c r="Z45" s="76"/>
      <c r="AA45" s="76"/>
      <c r="AB45" s="76"/>
      <c r="AC45" s="76"/>
      <c r="AD45" s="76"/>
    </row>
    <row r="46" spans="1:30" ht="12.75">
      <c r="A46" s="77">
        <v>2400</v>
      </c>
      <c r="B46" s="75"/>
      <c r="C46" s="77">
        <v>429.57078750000005</v>
      </c>
      <c r="D46" s="77">
        <v>621.0995275</v>
      </c>
      <c r="E46" s="77">
        <v>730.0139658333333</v>
      </c>
      <c r="F46" s="77">
        <v>806.6684549791667</v>
      </c>
      <c r="G46" s="77">
        <v>874.43570862075</v>
      </c>
      <c r="H46" s="77">
        <v>935.6239155658693</v>
      </c>
      <c r="K46" s="63"/>
      <c r="L46" s="63"/>
      <c r="M46" s="63"/>
      <c r="N46" s="88"/>
      <c r="O46" s="63"/>
      <c r="P46" s="63"/>
      <c r="Q46" s="63"/>
      <c r="R46" s="88"/>
      <c r="S46" s="63"/>
      <c r="W46" s="63"/>
      <c r="Y46" s="76"/>
      <c r="Z46" s="76"/>
      <c r="AA46" s="76"/>
      <c r="AB46" s="76"/>
      <c r="AC46" s="76"/>
      <c r="AD46" s="76"/>
    </row>
    <row r="47" spans="1:30" ht="12.75">
      <c r="A47" s="77">
        <v>2450</v>
      </c>
      <c r="B47" s="75"/>
      <c r="C47" s="77">
        <v>437.467575</v>
      </c>
      <c r="D47" s="77">
        <v>632.3484925</v>
      </c>
      <c r="E47" s="77">
        <v>743.0427858333333</v>
      </c>
      <c r="F47" s="77">
        <v>821.0655824791667</v>
      </c>
      <c r="G47" s="77">
        <v>890.04285612075</v>
      </c>
      <c r="H47" s="77">
        <v>952.3214880658693</v>
      </c>
      <c r="K47" s="63"/>
      <c r="L47" s="63"/>
      <c r="M47" s="63"/>
      <c r="N47" s="88"/>
      <c r="O47" s="63"/>
      <c r="P47" s="63"/>
      <c r="Q47" s="63"/>
      <c r="R47" s="88"/>
      <c r="S47" s="63"/>
      <c r="W47" s="63"/>
      <c r="Y47" s="76"/>
      <c r="Z47" s="76"/>
      <c r="AA47" s="76"/>
      <c r="AB47" s="76"/>
      <c r="AC47" s="76"/>
      <c r="AD47" s="76"/>
    </row>
    <row r="48" spans="1:30" ht="12.75">
      <c r="A48" s="77">
        <v>2500</v>
      </c>
      <c r="B48" s="75"/>
      <c r="C48" s="77">
        <v>444.5255275</v>
      </c>
      <c r="D48" s="77">
        <v>642.685835</v>
      </c>
      <c r="E48" s="77">
        <v>755.3614625</v>
      </c>
      <c r="F48" s="77">
        <v>834.7027775</v>
      </c>
      <c r="G48" s="77">
        <v>904.7241875000001</v>
      </c>
      <c r="H48" s="77">
        <v>968.0822175000001</v>
      </c>
      <c r="K48" s="63"/>
      <c r="L48" s="63"/>
      <c r="M48" s="89"/>
      <c r="N48" s="88"/>
      <c r="O48" s="63"/>
      <c r="P48" s="63"/>
      <c r="Q48" s="89"/>
      <c r="R48" s="88"/>
      <c r="S48" s="63"/>
      <c r="W48" s="63"/>
      <c r="Y48" s="76"/>
      <c r="Z48" s="76"/>
      <c r="AA48" s="76"/>
      <c r="AB48" s="76"/>
      <c r="AC48" s="76"/>
      <c r="AD48" s="76"/>
    </row>
    <row r="49" spans="1:30" ht="12.75">
      <c r="A49" s="77">
        <v>2550</v>
      </c>
      <c r="B49" s="75"/>
      <c r="C49" s="77">
        <v>451.38817</v>
      </c>
      <c r="D49" s="77">
        <v>652.86548</v>
      </c>
      <c r="E49" s="77">
        <v>767.61995</v>
      </c>
      <c r="F49" s="77">
        <v>848.2486700000001</v>
      </c>
      <c r="G49" s="77">
        <v>919.40975</v>
      </c>
      <c r="H49" s="77">
        <v>983.79489</v>
      </c>
      <c r="K49" s="63"/>
      <c r="L49" s="63"/>
      <c r="M49" s="63"/>
      <c r="N49" s="63"/>
      <c r="O49" s="63"/>
      <c r="P49" s="63"/>
      <c r="Q49" s="63"/>
      <c r="R49" s="63"/>
      <c r="S49" s="63"/>
      <c r="W49" s="63"/>
      <c r="Y49" s="76"/>
      <c r="Z49" s="76"/>
      <c r="AA49" s="76"/>
      <c r="AB49" s="76"/>
      <c r="AC49" s="76"/>
      <c r="AD49" s="76"/>
    </row>
    <row r="50" spans="1:30" ht="12.75">
      <c r="A50" s="77">
        <v>2600</v>
      </c>
      <c r="B50" s="75"/>
      <c r="C50" s="77">
        <v>458.2508125</v>
      </c>
      <c r="D50" s="77">
        <v>663.045125</v>
      </c>
      <c r="E50" s="77">
        <v>779.8784375</v>
      </c>
      <c r="F50" s="77">
        <v>861.7945625</v>
      </c>
      <c r="G50" s="77">
        <v>934.0953125</v>
      </c>
      <c r="H50" s="77">
        <v>999.5075625</v>
      </c>
      <c r="K50" s="63"/>
      <c r="L50" s="63"/>
      <c r="M50" s="63"/>
      <c r="N50" s="63"/>
      <c r="O50" s="63"/>
      <c r="P50" s="63"/>
      <c r="Q50" s="63"/>
      <c r="R50" s="63"/>
      <c r="S50" s="63"/>
      <c r="W50" s="63"/>
      <c r="Y50" s="76"/>
      <c r="Z50" s="76"/>
      <c r="AA50" s="76"/>
      <c r="AB50" s="76"/>
      <c r="AC50" s="76"/>
      <c r="AD50" s="76"/>
    </row>
    <row r="51" spans="1:30" ht="12.75">
      <c r="A51" s="77">
        <v>2650</v>
      </c>
      <c r="B51" s="75"/>
      <c r="C51" s="77">
        <v>465.113455</v>
      </c>
      <c r="D51" s="77">
        <v>673.22477</v>
      </c>
      <c r="E51" s="77">
        <v>792.136925</v>
      </c>
      <c r="F51" s="77">
        <v>875.340455</v>
      </c>
      <c r="G51" s="77">
        <v>948.7808749999999</v>
      </c>
      <c r="H51" s="77">
        <v>1015.220235</v>
      </c>
      <c r="K51" s="63"/>
      <c r="L51" s="63"/>
      <c r="M51" s="63"/>
      <c r="N51" s="63"/>
      <c r="O51" s="63"/>
      <c r="P51" s="63"/>
      <c r="Q51" s="63"/>
      <c r="R51" s="63"/>
      <c r="S51" s="63"/>
      <c r="W51" s="63"/>
      <c r="Y51" s="76"/>
      <c r="Z51" s="76"/>
      <c r="AA51" s="76"/>
      <c r="AB51" s="76"/>
      <c r="AC51" s="76"/>
      <c r="AD51" s="76"/>
    </row>
    <row r="52" spans="1:30" ht="12.75">
      <c r="A52" s="77">
        <v>2700</v>
      </c>
      <c r="B52" s="75"/>
      <c r="C52" s="77">
        <v>471.7731935</v>
      </c>
      <c r="D52" s="77">
        <v>683.103439</v>
      </c>
      <c r="E52" s="77">
        <v>804.0329725</v>
      </c>
      <c r="F52" s="77">
        <v>888.4858435</v>
      </c>
      <c r="G52" s="77">
        <v>963.0322375</v>
      </c>
      <c r="H52" s="77">
        <v>1030.4683395</v>
      </c>
      <c r="K52" s="63"/>
      <c r="L52" s="63"/>
      <c r="M52" s="63"/>
      <c r="N52" s="63"/>
      <c r="O52" s="63"/>
      <c r="P52" s="63"/>
      <c r="Q52" s="63"/>
      <c r="R52" s="63"/>
      <c r="S52" s="63"/>
      <c r="W52" s="63"/>
      <c r="Y52" s="76"/>
      <c r="Z52" s="76"/>
      <c r="AA52" s="76"/>
      <c r="AB52" s="76"/>
      <c r="AC52" s="76"/>
      <c r="AD52" s="76"/>
    </row>
    <row r="53" spans="1:30" ht="12.75">
      <c r="A53" s="77">
        <v>2750</v>
      </c>
      <c r="B53" s="75"/>
      <c r="C53" s="77">
        <v>477.36768600000005</v>
      </c>
      <c r="D53" s="77">
        <v>691.4019840000001</v>
      </c>
      <c r="E53" s="77">
        <v>814.02621</v>
      </c>
      <c r="F53" s="77">
        <v>899.528586</v>
      </c>
      <c r="G53" s="77">
        <v>975.00405</v>
      </c>
      <c r="H53" s="77">
        <v>1043.277462</v>
      </c>
      <c r="K53" s="63"/>
      <c r="L53" s="63"/>
      <c r="M53" s="63"/>
      <c r="N53" s="63"/>
      <c r="O53" s="63"/>
      <c r="P53" s="63"/>
      <c r="Q53" s="63"/>
      <c r="R53" s="63"/>
      <c r="S53" s="63"/>
      <c r="W53" s="63"/>
      <c r="Y53" s="76"/>
      <c r="Z53" s="76"/>
      <c r="AA53" s="76"/>
      <c r="AB53" s="76"/>
      <c r="AC53" s="76"/>
      <c r="AD53" s="76"/>
    </row>
    <row r="54" spans="1:30" ht="12.75">
      <c r="A54" s="77">
        <v>2800</v>
      </c>
      <c r="B54" s="75"/>
      <c r="C54" s="77">
        <v>482.9621785</v>
      </c>
      <c r="D54" s="77">
        <v>699.700529</v>
      </c>
      <c r="E54" s="77">
        <v>824.0194475</v>
      </c>
      <c r="F54" s="77">
        <v>910.5713284999999</v>
      </c>
      <c r="G54" s="77">
        <v>986.9758625</v>
      </c>
      <c r="H54" s="77">
        <v>1056.0865844999998</v>
      </c>
      <c r="K54" s="63"/>
      <c r="L54" s="63"/>
      <c r="M54" s="63"/>
      <c r="N54" s="63"/>
      <c r="O54" s="63"/>
      <c r="P54" s="63"/>
      <c r="Q54" s="63"/>
      <c r="R54" s="63"/>
      <c r="S54" s="63"/>
      <c r="W54" s="63"/>
      <c r="Y54" s="76"/>
      <c r="Z54" s="76"/>
      <c r="AA54" s="76"/>
      <c r="AB54" s="76"/>
      <c r="AC54" s="76"/>
      <c r="AD54" s="76"/>
    </row>
    <row r="55" spans="1:30" ht="12.75">
      <c r="A55" s="77">
        <v>2850</v>
      </c>
      <c r="B55" s="75"/>
      <c r="C55" s="77">
        <v>488.556671</v>
      </c>
      <c r="D55" s="77">
        <v>707.9990740000001</v>
      </c>
      <c r="E55" s="77">
        <v>834.012685</v>
      </c>
      <c r="F55" s="77">
        <v>921.614071</v>
      </c>
      <c r="G55" s="77">
        <v>998.947675</v>
      </c>
      <c r="H55" s="77">
        <v>1068.8957070000001</v>
      </c>
      <c r="K55" s="63"/>
      <c r="L55" s="63"/>
      <c r="M55" s="63"/>
      <c r="N55" s="63"/>
      <c r="O55" s="63"/>
      <c r="P55" s="63"/>
      <c r="Q55" s="63"/>
      <c r="R55" s="63"/>
      <c r="S55" s="63"/>
      <c r="W55" s="63"/>
      <c r="Y55" s="76"/>
      <c r="Z55" s="76"/>
      <c r="AA55" s="76"/>
      <c r="AB55" s="76"/>
      <c r="AC55" s="76"/>
      <c r="AD55" s="76"/>
    </row>
    <row r="56" spans="1:30" ht="12.75">
      <c r="A56" s="77">
        <v>2900</v>
      </c>
      <c r="B56" s="75"/>
      <c r="C56" s="77">
        <v>494.15116350000005</v>
      </c>
      <c r="D56" s="77">
        <v>716.297619</v>
      </c>
      <c r="E56" s="77">
        <v>844.0059225000001</v>
      </c>
      <c r="F56" s="77">
        <v>932.6568135000001</v>
      </c>
      <c r="G56" s="77">
        <v>1010.9194875000001</v>
      </c>
      <c r="H56" s="77">
        <v>1081.7048295000002</v>
      </c>
      <c r="K56" s="63"/>
      <c r="L56" s="63"/>
      <c r="M56" s="63"/>
      <c r="N56" s="63"/>
      <c r="O56" s="63"/>
      <c r="P56" s="63"/>
      <c r="Q56" s="63"/>
      <c r="R56" s="63"/>
      <c r="S56" s="63"/>
      <c r="W56" s="63"/>
      <c r="Y56" s="76"/>
      <c r="Z56" s="76"/>
      <c r="AA56" s="76"/>
      <c r="AB56" s="76"/>
      <c r="AC56" s="76"/>
      <c r="AD56" s="76"/>
    </row>
    <row r="57" spans="1:30" ht="12.75">
      <c r="A57" s="77">
        <v>2950</v>
      </c>
      <c r="B57" s="75"/>
      <c r="C57" s="77">
        <v>499.745656</v>
      </c>
      <c r="D57" s="77">
        <v>724.596164</v>
      </c>
      <c r="E57" s="77">
        <v>853.99916</v>
      </c>
      <c r="F57" s="77">
        <v>943.699556</v>
      </c>
      <c r="G57" s="77">
        <v>1022.8913</v>
      </c>
      <c r="H57" s="77">
        <v>1094.513952</v>
      </c>
      <c r="K57" s="63"/>
      <c r="L57" s="63"/>
      <c r="M57" s="63"/>
      <c r="N57" s="63"/>
      <c r="O57" s="63"/>
      <c r="P57" s="63"/>
      <c r="Q57" s="63"/>
      <c r="R57" s="63"/>
      <c r="S57" s="63"/>
      <c r="W57" s="63"/>
      <c r="Y57" s="76"/>
      <c r="Z57" s="76"/>
      <c r="AA57" s="76"/>
      <c r="AB57" s="76"/>
      <c r="AC57" s="76"/>
      <c r="AD57" s="76"/>
    </row>
    <row r="58" spans="1:30" ht="12.75">
      <c r="A58" s="77">
        <v>3000</v>
      </c>
      <c r="B58" s="75"/>
      <c r="C58" s="77">
        <v>505.34014850000005</v>
      </c>
      <c r="D58" s="77">
        <v>732.894709</v>
      </c>
      <c r="E58" s="77">
        <v>863.9923975</v>
      </c>
      <c r="F58" s="77">
        <v>954.7422985000001</v>
      </c>
      <c r="G58" s="77">
        <v>1034.8631125000002</v>
      </c>
      <c r="H58" s="77">
        <v>1107.3230745</v>
      </c>
      <c r="K58" s="63"/>
      <c r="L58" s="63"/>
      <c r="M58" s="63"/>
      <c r="N58" s="63"/>
      <c r="O58" s="63"/>
      <c r="P58" s="63"/>
      <c r="Q58" s="63"/>
      <c r="R58" s="63"/>
      <c r="S58" s="63"/>
      <c r="W58" s="63"/>
      <c r="Y58" s="76"/>
      <c r="Z58" s="76"/>
      <c r="AA58" s="76"/>
      <c r="AB58" s="76"/>
      <c r="AC58" s="76"/>
      <c r="AD58" s="76"/>
    </row>
    <row r="59" spans="1:30" ht="12.75">
      <c r="A59" s="77">
        <v>3050</v>
      </c>
      <c r="B59" s="75"/>
      <c r="C59" s="77">
        <v>510.93464099999994</v>
      </c>
      <c r="D59" s="77">
        <v>741.1932539999999</v>
      </c>
      <c r="E59" s="77">
        <v>873.985635</v>
      </c>
      <c r="F59" s="77">
        <v>965.785041</v>
      </c>
      <c r="G59" s="77">
        <v>1046.8349249999999</v>
      </c>
      <c r="H59" s="77">
        <v>1120.132197</v>
      </c>
      <c r="K59" s="63"/>
      <c r="L59" s="63"/>
      <c r="M59" s="63"/>
      <c r="N59" s="63"/>
      <c r="O59" s="63"/>
      <c r="P59" s="63"/>
      <c r="Q59" s="63"/>
      <c r="R59" s="63"/>
      <c r="S59" s="63"/>
      <c r="W59" s="63"/>
      <c r="Y59" s="76"/>
      <c r="Z59" s="76"/>
      <c r="AA59" s="76"/>
      <c r="AB59" s="76"/>
      <c r="AC59" s="76"/>
      <c r="AD59" s="76"/>
    </row>
    <row r="60" spans="1:30" ht="12.75">
      <c r="A60" s="77">
        <v>3100</v>
      </c>
      <c r="B60" s="75"/>
      <c r="C60" s="77">
        <v>516.5291335</v>
      </c>
      <c r="D60" s="77">
        <v>749.491799</v>
      </c>
      <c r="E60" s="77">
        <v>883.9788725</v>
      </c>
      <c r="F60" s="77">
        <v>976.8277835</v>
      </c>
      <c r="G60" s="77">
        <v>1058.8067375</v>
      </c>
      <c r="H60" s="77">
        <v>1132.9413195</v>
      </c>
      <c r="K60" s="63"/>
      <c r="L60" s="63"/>
      <c r="M60" s="63"/>
      <c r="N60" s="63"/>
      <c r="O60" s="63"/>
      <c r="P60" s="63"/>
      <c r="Q60" s="63"/>
      <c r="R60" s="63"/>
      <c r="S60" s="63"/>
      <c r="W60" s="63"/>
      <c r="Y60" s="76"/>
      <c r="Z60" s="76"/>
      <c r="AA60" s="76"/>
      <c r="AB60" s="76"/>
      <c r="AC60" s="76"/>
      <c r="AD60" s="76"/>
    </row>
    <row r="61" spans="1:30" ht="12.75">
      <c r="A61" s="77">
        <v>3150</v>
      </c>
      <c r="B61" s="75"/>
      <c r="C61" s="77">
        <v>521.120318</v>
      </c>
      <c r="D61" s="77">
        <v>756.358106</v>
      </c>
      <c r="E61" s="77">
        <v>892.02863</v>
      </c>
      <c r="F61" s="77">
        <v>985.7813000000001</v>
      </c>
      <c r="G61" s="77">
        <v>1068.504172</v>
      </c>
      <c r="H61" s="77">
        <v>1143.1842020000001</v>
      </c>
      <c r="K61" s="63"/>
      <c r="L61" s="63"/>
      <c r="M61" s="63"/>
      <c r="N61" s="63"/>
      <c r="O61" s="63"/>
      <c r="P61" s="63"/>
      <c r="Q61" s="63"/>
      <c r="R61" s="63"/>
      <c r="S61" s="63"/>
      <c r="W61" s="63"/>
      <c r="Y61" s="76"/>
      <c r="Z61" s="76"/>
      <c r="AA61" s="76"/>
      <c r="AB61" s="76"/>
      <c r="AC61" s="76"/>
      <c r="AD61" s="76"/>
    </row>
    <row r="62" spans="1:30" ht="12.75">
      <c r="A62" s="77">
        <v>3200</v>
      </c>
      <c r="B62" s="75"/>
      <c r="C62" s="77">
        <v>524.6846205</v>
      </c>
      <c r="D62" s="77">
        <v>761.1783735</v>
      </c>
      <c r="E62" s="77">
        <v>897.3478425000001</v>
      </c>
      <c r="F62" s="77">
        <v>991.659675</v>
      </c>
      <c r="G62" s="77">
        <v>1074.875757</v>
      </c>
      <c r="H62" s="77">
        <v>1150.0002494999999</v>
      </c>
      <c r="K62" s="63"/>
      <c r="L62" s="63"/>
      <c r="M62" s="63"/>
      <c r="N62" s="63"/>
      <c r="O62" s="63"/>
      <c r="P62" s="63"/>
      <c r="Q62" s="63"/>
      <c r="R62" s="63"/>
      <c r="S62" s="63"/>
      <c r="W62" s="63"/>
      <c r="Y62" s="76"/>
      <c r="Z62" s="76"/>
      <c r="AA62" s="76"/>
      <c r="AB62" s="76"/>
      <c r="AC62" s="76"/>
      <c r="AD62" s="76"/>
    </row>
    <row r="63" spans="1:30" ht="12.75">
      <c r="A63" s="77">
        <v>3250</v>
      </c>
      <c r="B63" s="75"/>
      <c r="C63" s="77">
        <v>528.248923</v>
      </c>
      <c r="D63" s="77">
        <v>765.998641</v>
      </c>
      <c r="E63" s="77">
        <v>902.667055</v>
      </c>
      <c r="F63" s="77">
        <v>997.5380500000001</v>
      </c>
      <c r="G63" s="77">
        <v>1081.247342</v>
      </c>
      <c r="H63" s="77">
        <v>1156.816297</v>
      </c>
      <c r="K63" s="63"/>
      <c r="L63" s="63"/>
      <c r="M63" s="63"/>
      <c r="N63" s="63"/>
      <c r="O63" s="63"/>
      <c r="P63" s="63"/>
      <c r="Q63" s="63"/>
      <c r="R63" s="63"/>
      <c r="S63" s="63"/>
      <c r="W63" s="63"/>
      <c r="Y63" s="76"/>
      <c r="Z63" s="76"/>
      <c r="AA63" s="76"/>
      <c r="AB63" s="76"/>
      <c r="AC63" s="76"/>
      <c r="AD63" s="76"/>
    </row>
    <row r="64" spans="1:30" ht="12.75">
      <c r="A64" s="77">
        <v>3300</v>
      </c>
      <c r="B64" s="75"/>
      <c r="C64" s="77">
        <v>531.8132255</v>
      </c>
      <c r="D64" s="77">
        <v>770.8189084999999</v>
      </c>
      <c r="E64" s="77">
        <v>907.9862675</v>
      </c>
      <c r="F64" s="77">
        <v>1003.416425</v>
      </c>
      <c r="G64" s="77">
        <v>1087.618927</v>
      </c>
      <c r="H64" s="77">
        <v>1163.6323445</v>
      </c>
      <c r="K64" s="63"/>
      <c r="L64" s="63"/>
      <c r="M64" s="63"/>
      <c r="N64" s="63"/>
      <c r="O64" s="63"/>
      <c r="P64" s="63"/>
      <c r="Q64" s="63"/>
      <c r="R64" s="63"/>
      <c r="S64" s="63"/>
      <c r="W64" s="63"/>
      <c r="Y64" s="76"/>
      <c r="Z64" s="76"/>
      <c r="AA64" s="76"/>
      <c r="AB64" s="76"/>
      <c r="AC64" s="76"/>
      <c r="AD64" s="76"/>
    </row>
    <row r="65" spans="1:30" ht="12.75">
      <c r="A65" s="77">
        <v>3350</v>
      </c>
      <c r="B65" s="75"/>
      <c r="C65" s="77">
        <v>535.377528</v>
      </c>
      <c r="D65" s="77">
        <v>775.639176</v>
      </c>
      <c r="E65" s="77">
        <v>913.30548</v>
      </c>
      <c r="F65" s="77">
        <v>1009.2948</v>
      </c>
      <c r="G65" s="77">
        <v>1093.990512</v>
      </c>
      <c r="H65" s="77">
        <v>1170.448392</v>
      </c>
      <c r="K65" s="63"/>
      <c r="L65" s="63"/>
      <c r="M65" s="63"/>
      <c r="N65" s="63"/>
      <c r="O65" s="63"/>
      <c r="P65" s="63"/>
      <c r="Q65" s="63"/>
      <c r="R65" s="63"/>
      <c r="S65" s="63"/>
      <c r="W65" s="63"/>
      <c r="Y65" s="76"/>
      <c r="Z65" s="76"/>
      <c r="AA65" s="76"/>
      <c r="AB65" s="76"/>
      <c r="AC65" s="76"/>
      <c r="AD65" s="76"/>
    </row>
    <row r="66" spans="1:30" ht="12.75">
      <c r="A66" s="77">
        <v>3400</v>
      </c>
      <c r="B66" s="75"/>
      <c r="C66" s="77">
        <v>538.9418305</v>
      </c>
      <c r="D66" s="77">
        <v>780.4594435</v>
      </c>
      <c r="E66" s="77">
        <v>918.6246925</v>
      </c>
      <c r="F66" s="77">
        <v>1015.1731750000001</v>
      </c>
      <c r="G66" s="77">
        <v>1100.362097</v>
      </c>
      <c r="H66" s="77">
        <v>1177.2644395</v>
      </c>
      <c r="K66" s="63"/>
      <c r="L66" s="63"/>
      <c r="M66" s="63"/>
      <c r="N66" s="63"/>
      <c r="O66" s="63"/>
      <c r="P66" s="63"/>
      <c r="Q66" s="63"/>
      <c r="R66" s="63"/>
      <c r="S66" s="63"/>
      <c r="W66" s="63"/>
      <c r="Y66" s="76"/>
      <c r="Z66" s="76"/>
      <c r="AA66" s="76"/>
      <c r="AB66" s="76"/>
      <c r="AC66" s="76"/>
      <c r="AD66" s="76"/>
    </row>
    <row r="67" spans="1:30" ht="12.75">
      <c r="A67" s="77">
        <v>3450</v>
      </c>
      <c r="B67" s="75"/>
      <c r="C67" s="77">
        <v>542.506133</v>
      </c>
      <c r="D67" s="77">
        <v>785.279711</v>
      </c>
      <c r="E67" s="77">
        <v>923.943905</v>
      </c>
      <c r="F67" s="77">
        <v>1021.05155</v>
      </c>
      <c r="G67" s="77">
        <v>1106.733682</v>
      </c>
      <c r="H67" s="77">
        <v>1184.080487</v>
      </c>
      <c r="K67" s="63"/>
      <c r="L67" s="63"/>
      <c r="M67" s="63"/>
      <c r="N67" s="63"/>
      <c r="O67" s="63"/>
      <c r="P67" s="63"/>
      <c r="Q67" s="63"/>
      <c r="R67" s="63"/>
      <c r="S67" s="63"/>
      <c r="W67" s="63"/>
      <c r="Y67" s="76"/>
      <c r="Z67" s="76"/>
      <c r="AA67" s="76"/>
      <c r="AB67" s="76"/>
      <c r="AC67" s="76"/>
      <c r="AD67" s="76"/>
    </row>
    <row r="68" spans="1:30" ht="12.75">
      <c r="A68" s="77">
        <v>3500</v>
      </c>
      <c r="B68" s="75"/>
      <c r="C68" s="77">
        <v>546.0704355</v>
      </c>
      <c r="D68" s="77">
        <v>790.0999785</v>
      </c>
      <c r="E68" s="77">
        <v>929.2631175</v>
      </c>
      <c r="F68" s="77">
        <v>1026.9299250000001</v>
      </c>
      <c r="G68" s="77">
        <v>1113.105267</v>
      </c>
      <c r="H68" s="77">
        <v>1190.8965345</v>
      </c>
      <c r="K68" s="63"/>
      <c r="L68" s="63"/>
      <c r="M68" s="63"/>
      <c r="N68" s="63"/>
      <c r="O68" s="63"/>
      <c r="P68" s="63"/>
      <c r="Q68" s="63"/>
      <c r="R68" s="63"/>
      <c r="S68" s="63"/>
      <c r="W68" s="63"/>
      <c r="Y68" s="76"/>
      <c r="Z68" s="76"/>
      <c r="AA68" s="76"/>
      <c r="AB68" s="76"/>
      <c r="AC68" s="76"/>
      <c r="AD68" s="76"/>
    </row>
    <row r="69" spans="1:30" ht="12.75">
      <c r="A69" s="77">
        <v>3550</v>
      </c>
      <c r="B69" s="75"/>
      <c r="C69" s="77">
        <v>549.634738</v>
      </c>
      <c r="D69" s="77">
        <v>794.9202459999999</v>
      </c>
      <c r="E69" s="77">
        <v>934.58233</v>
      </c>
      <c r="F69" s="77">
        <v>1032.8083</v>
      </c>
      <c r="G69" s="77">
        <v>1119.476852</v>
      </c>
      <c r="H69" s="77">
        <v>1197.7125819999999</v>
      </c>
      <c r="K69" s="63"/>
      <c r="L69" s="63"/>
      <c r="M69" s="63"/>
      <c r="N69" s="63"/>
      <c r="O69" s="63"/>
      <c r="P69" s="63"/>
      <c r="Q69" s="63"/>
      <c r="R69" s="63"/>
      <c r="S69" s="63"/>
      <c r="W69" s="63"/>
      <c r="Y69" s="76"/>
      <c r="Z69" s="76"/>
      <c r="AA69" s="76"/>
      <c r="AB69" s="76"/>
      <c r="AC69" s="76"/>
      <c r="AD69" s="76"/>
    </row>
    <row r="70" spans="1:30" ht="12.75">
      <c r="A70" s="77">
        <v>3600</v>
      </c>
      <c r="B70" s="75"/>
      <c r="C70" s="77">
        <v>553.1990405</v>
      </c>
      <c r="D70" s="77">
        <v>799.7405135</v>
      </c>
      <c r="E70" s="77">
        <v>939.9015425</v>
      </c>
      <c r="F70" s="77">
        <v>1038.686675</v>
      </c>
      <c r="G70" s="77">
        <v>1125.8484369999999</v>
      </c>
      <c r="H70" s="77">
        <v>1204.5286295</v>
      </c>
      <c r="K70" s="63"/>
      <c r="L70" s="63"/>
      <c r="M70" s="63"/>
      <c r="N70" s="63"/>
      <c r="O70" s="63"/>
      <c r="P70" s="63"/>
      <c r="Q70" s="63"/>
      <c r="R70" s="63"/>
      <c r="S70" s="63"/>
      <c r="W70" s="63"/>
      <c r="Y70" s="76"/>
      <c r="Z70" s="76"/>
      <c r="AA70" s="76"/>
      <c r="AB70" s="76"/>
      <c r="AC70" s="76"/>
      <c r="AD70" s="76"/>
    </row>
    <row r="71" spans="1:30" ht="12.75">
      <c r="A71" s="77">
        <v>3650</v>
      </c>
      <c r="B71" s="75"/>
      <c r="C71" s="77">
        <v>556.7633430000001</v>
      </c>
      <c r="D71" s="77">
        <v>804.560781</v>
      </c>
      <c r="E71" s="77">
        <v>945.220755</v>
      </c>
      <c r="F71" s="77">
        <v>1044.5650500000002</v>
      </c>
      <c r="G71" s="77">
        <v>1132.220022</v>
      </c>
      <c r="H71" s="77">
        <v>1211.344677</v>
      </c>
      <c r="K71" s="63"/>
      <c r="L71" s="63"/>
      <c r="M71" s="63"/>
      <c r="N71" s="63"/>
      <c r="O71" s="63"/>
      <c r="P71" s="63"/>
      <c r="Q71" s="63"/>
      <c r="R71" s="63"/>
      <c r="S71" s="63"/>
      <c r="W71" s="63"/>
      <c r="Y71" s="76"/>
      <c r="Z71" s="76"/>
      <c r="AA71" s="76"/>
      <c r="AB71" s="76"/>
      <c r="AC71" s="76"/>
      <c r="AD71" s="76"/>
    </row>
    <row r="72" spans="1:30" ht="12.75">
      <c r="A72" s="77">
        <v>3700</v>
      </c>
      <c r="B72" s="75"/>
      <c r="C72" s="77">
        <v>560.3276455</v>
      </c>
      <c r="D72" s="77">
        <v>809.3810484999999</v>
      </c>
      <c r="E72" s="77">
        <v>950.5399675</v>
      </c>
      <c r="F72" s="77">
        <v>1050.443425</v>
      </c>
      <c r="G72" s="77">
        <v>1138.591607</v>
      </c>
      <c r="H72" s="77">
        <v>1218.1607245</v>
      </c>
      <c r="K72" s="63"/>
      <c r="L72" s="63"/>
      <c r="M72" s="63"/>
      <c r="N72" s="63"/>
      <c r="O72" s="63"/>
      <c r="P72" s="63"/>
      <c r="Q72" s="63"/>
      <c r="R72" s="63"/>
      <c r="S72" s="63"/>
      <c r="W72" s="63"/>
      <c r="Y72" s="76"/>
      <c r="Z72" s="76"/>
      <c r="AA72" s="76"/>
      <c r="AB72" s="76"/>
      <c r="AC72" s="76"/>
      <c r="AD72" s="76"/>
    </row>
    <row r="73" spans="1:30" ht="12.75">
      <c r="A73" s="77">
        <v>3750</v>
      </c>
      <c r="B73" s="75"/>
      <c r="C73" s="77">
        <v>563.8919480000001</v>
      </c>
      <c r="D73" s="77">
        <v>814.201316</v>
      </c>
      <c r="E73" s="77">
        <v>955.85918</v>
      </c>
      <c r="F73" s="77">
        <v>1056.3218000000002</v>
      </c>
      <c r="G73" s="77">
        <v>1144.963192</v>
      </c>
      <c r="H73" s="77">
        <v>1224.976772</v>
      </c>
      <c r="K73" s="63"/>
      <c r="L73" s="63"/>
      <c r="M73" s="63"/>
      <c r="N73" s="63"/>
      <c r="O73" s="63"/>
      <c r="P73" s="63"/>
      <c r="Q73" s="63"/>
      <c r="R73" s="63"/>
      <c r="S73" s="63"/>
      <c r="W73" s="63"/>
      <c r="Y73" s="76"/>
      <c r="Z73" s="76"/>
      <c r="AA73" s="76"/>
      <c r="AB73" s="76"/>
      <c r="AC73" s="76"/>
      <c r="AD73" s="76"/>
    </row>
    <row r="74" spans="1:30" ht="12.75">
      <c r="A74" s="77">
        <v>3800</v>
      </c>
      <c r="B74" s="75"/>
      <c r="C74" s="77">
        <v>567.4562505</v>
      </c>
      <c r="D74" s="77">
        <v>819.0215834999999</v>
      </c>
      <c r="E74" s="77">
        <v>961.1783925</v>
      </c>
      <c r="F74" s="77">
        <v>1062.200175</v>
      </c>
      <c r="G74" s="77">
        <v>1151.334777</v>
      </c>
      <c r="H74" s="77">
        <v>1231.7928195</v>
      </c>
      <c r="K74" s="63"/>
      <c r="L74" s="63"/>
      <c r="M74" s="63"/>
      <c r="N74" s="63"/>
      <c r="O74" s="63"/>
      <c r="P74" s="63"/>
      <c r="Q74" s="63"/>
      <c r="R74" s="63"/>
      <c r="S74" s="63"/>
      <c r="W74" s="63"/>
      <c r="Y74" s="76"/>
      <c r="Z74" s="76"/>
      <c r="AA74" s="76"/>
      <c r="AB74" s="76"/>
      <c r="AC74" s="76"/>
      <c r="AD74" s="76"/>
    </row>
    <row r="75" spans="1:30" ht="12.75">
      <c r="A75" s="77">
        <v>3850</v>
      </c>
      <c r="B75" s="75"/>
      <c r="C75" s="77">
        <v>571.0205530000001</v>
      </c>
      <c r="D75" s="77">
        <v>823.841851</v>
      </c>
      <c r="E75" s="77">
        <v>966.497605</v>
      </c>
      <c r="F75" s="77">
        <v>1068.07855</v>
      </c>
      <c r="G75" s="77">
        <v>1157.706362</v>
      </c>
      <c r="H75" s="77">
        <v>1238.608867</v>
      </c>
      <c r="K75" s="63"/>
      <c r="L75" s="63"/>
      <c r="M75" s="63"/>
      <c r="N75" s="63"/>
      <c r="O75" s="63"/>
      <c r="P75" s="63"/>
      <c r="Q75" s="63"/>
      <c r="R75" s="63"/>
      <c r="S75" s="63"/>
      <c r="W75" s="63"/>
      <c r="Y75" s="76"/>
      <c r="Z75" s="76"/>
      <c r="AA75" s="76"/>
      <c r="AB75" s="76"/>
      <c r="AC75" s="76"/>
      <c r="AD75" s="76"/>
    </row>
    <row r="76" spans="1:30" ht="12.75">
      <c r="A76" s="77">
        <v>3900</v>
      </c>
      <c r="B76" s="75"/>
      <c r="C76" s="77">
        <v>574.1160669946933</v>
      </c>
      <c r="D76" s="77">
        <v>828.0824453411495</v>
      </c>
      <c r="E76" s="77">
        <v>971.5383871013044</v>
      </c>
      <c r="F76" s="77">
        <v>1073.5499177469414</v>
      </c>
      <c r="G76" s="77">
        <v>1163.7281108376844</v>
      </c>
      <c r="H76" s="77">
        <v>1245.1890785963224</v>
      </c>
      <c r="K76" s="63"/>
      <c r="L76" s="63"/>
      <c r="M76" s="63"/>
      <c r="N76" s="63"/>
      <c r="O76" s="63"/>
      <c r="P76" s="63"/>
      <c r="Q76" s="63"/>
      <c r="R76" s="63"/>
      <c r="S76" s="63"/>
      <c r="W76" s="63"/>
      <c r="Y76" s="76"/>
      <c r="Z76" s="76"/>
      <c r="AA76" s="76"/>
      <c r="AB76" s="76"/>
      <c r="AC76" s="76"/>
      <c r="AD76" s="76"/>
    </row>
    <row r="77" spans="1:30" ht="12.75">
      <c r="A77" s="77">
        <v>3950</v>
      </c>
      <c r="B77" s="75"/>
      <c r="C77" s="77">
        <v>577.1354900731276</v>
      </c>
      <c r="D77" s="77">
        <v>832.4357229278027</v>
      </c>
      <c r="E77" s="77">
        <v>976.6375574402324</v>
      </c>
      <c r="F77" s="77">
        <v>1079.1845009714568</v>
      </c>
      <c r="G77" s="77">
        <v>1169.8359990530594</v>
      </c>
      <c r="H77" s="77">
        <v>1251.7245189867735</v>
      </c>
      <c r="K77" s="63"/>
      <c r="L77" s="63"/>
      <c r="M77" s="63"/>
      <c r="N77" s="63"/>
      <c r="O77" s="63"/>
      <c r="P77" s="63"/>
      <c r="Q77" s="63"/>
      <c r="R77" s="63"/>
      <c r="S77" s="63"/>
      <c r="W77" s="63"/>
      <c r="Y77" s="76"/>
      <c r="Z77" s="76"/>
      <c r="AA77" s="76"/>
      <c r="AB77" s="76"/>
      <c r="AC77" s="76"/>
      <c r="AD77" s="76"/>
    </row>
    <row r="78" spans="1:30" ht="12.75">
      <c r="A78" s="77">
        <v>4000</v>
      </c>
      <c r="B78" s="75"/>
      <c r="C78" s="77">
        <v>580.1549131515619</v>
      </c>
      <c r="D78" s="77">
        <v>836.7890005144558</v>
      </c>
      <c r="E78" s="77">
        <v>981.7367277791606</v>
      </c>
      <c r="F78" s="77">
        <v>1084.8190841959724</v>
      </c>
      <c r="G78" s="77">
        <v>1175.9438872684343</v>
      </c>
      <c r="H78" s="77">
        <v>1258.2599593772247</v>
      </c>
      <c r="K78" s="63"/>
      <c r="L78" s="63"/>
      <c r="M78" s="63"/>
      <c r="N78" s="63"/>
      <c r="O78" s="63"/>
      <c r="P78" s="63"/>
      <c r="Q78" s="63"/>
      <c r="R78" s="63"/>
      <c r="S78" s="63"/>
      <c r="W78" s="63"/>
      <c r="Y78" s="76"/>
      <c r="Z78" s="76"/>
      <c r="AA78" s="76"/>
      <c r="AB78" s="76"/>
      <c r="AC78" s="76"/>
      <c r="AD78" s="76"/>
    </row>
    <row r="79" spans="1:30" ht="12.75">
      <c r="A79" s="77">
        <v>4050</v>
      </c>
      <c r="B79" s="75"/>
      <c r="C79" s="77">
        <v>583.1743362299962</v>
      </c>
      <c r="D79" s="77">
        <v>841.1422781011089</v>
      </c>
      <c r="E79" s="77">
        <v>986.8358981180886</v>
      </c>
      <c r="F79" s="77">
        <v>1090.453667420488</v>
      </c>
      <c r="G79" s="77">
        <v>1182.051775483809</v>
      </c>
      <c r="H79" s="77">
        <v>1264.7953997676757</v>
      </c>
      <c r="K79" s="63"/>
      <c r="L79" s="63"/>
      <c r="M79" s="63"/>
      <c r="N79" s="63"/>
      <c r="O79" s="63"/>
      <c r="P79" s="63"/>
      <c r="Q79" s="63"/>
      <c r="R79" s="63"/>
      <c r="S79" s="63"/>
      <c r="W79" s="63"/>
      <c r="Y79" s="76"/>
      <c r="Z79" s="76"/>
      <c r="AA79" s="76"/>
      <c r="AB79" s="76"/>
      <c r="AC79" s="76"/>
      <c r="AD79" s="76"/>
    </row>
    <row r="80" spans="1:30" ht="12.75">
      <c r="A80" s="77">
        <v>4100</v>
      </c>
      <c r="B80" s="75"/>
      <c r="C80" s="77">
        <v>586.1937593084307</v>
      </c>
      <c r="D80" s="77">
        <v>845.495555687762</v>
      </c>
      <c r="E80" s="77">
        <v>991.9350684570168</v>
      </c>
      <c r="F80" s="77">
        <v>1096.0882506450037</v>
      </c>
      <c r="G80" s="77">
        <v>1188.159663699184</v>
      </c>
      <c r="H80" s="77">
        <v>1271.3308401581269</v>
      </c>
      <c r="K80" s="63"/>
      <c r="L80" s="63"/>
      <c r="M80" s="63"/>
      <c r="N80" s="63"/>
      <c r="O80" s="63"/>
      <c r="P80" s="63"/>
      <c r="Q80" s="63"/>
      <c r="R80" s="63"/>
      <c r="S80" s="63"/>
      <c r="W80" s="63"/>
      <c r="Y80" s="76"/>
      <c r="Z80" s="76"/>
      <c r="AA80" s="76"/>
      <c r="AB80" s="76"/>
      <c r="AC80" s="76"/>
      <c r="AD80" s="76"/>
    </row>
    <row r="81" spans="1:30" ht="12.75">
      <c r="A81" s="77">
        <v>4150</v>
      </c>
      <c r="B81" s="75"/>
      <c r="C81" s="77">
        <v>589.213182386865</v>
      </c>
      <c r="D81" s="77">
        <v>849.8488332744151</v>
      </c>
      <c r="E81" s="77">
        <v>997.0342387959449</v>
      </c>
      <c r="F81" s="77">
        <v>1101.7228338695193</v>
      </c>
      <c r="G81" s="77">
        <v>1194.267551914559</v>
      </c>
      <c r="H81" s="77">
        <v>1277.866280548578</v>
      </c>
      <c r="K81" s="63"/>
      <c r="L81" s="63"/>
      <c r="M81" s="63"/>
      <c r="N81" s="63"/>
      <c r="O81" s="63"/>
      <c r="P81" s="63"/>
      <c r="Q81" s="63"/>
      <c r="R81" s="63"/>
      <c r="S81" s="63"/>
      <c r="W81" s="63"/>
      <c r="Y81" s="76"/>
      <c r="Z81" s="76"/>
      <c r="AA81" s="76"/>
      <c r="AB81" s="76"/>
      <c r="AC81" s="76"/>
      <c r="AD81" s="76"/>
    </row>
    <row r="82" spans="1:30" ht="12.75">
      <c r="A82" s="77">
        <v>4200</v>
      </c>
      <c r="B82" s="75"/>
      <c r="C82" s="77">
        <v>592.2326054652993</v>
      </c>
      <c r="D82" s="77">
        <v>854.2021108610683</v>
      </c>
      <c r="E82" s="77">
        <v>1002.133409134873</v>
      </c>
      <c r="F82" s="77">
        <v>1107.3574170940349</v>
      </c>
      <c r="G82" s="77">
        <v>1200.3754401299338</v>
      </c>
      <c r="H82" s="77">
        <v>1284.4017209390292</v>
      </c>
      <c r="K82" s="63"/>
      <c r="L82" s="63"/>
      <c r="M82" s="63"/>
      <c r="N82" s="63"/>
      <c r="O82" s="63"/>
      <c r="P82" s="63"/>
      <c r="Q82" s="63"/>
      <c r="R82" s="63"/>
      <c r="S82" s="63"/>
      <c r="W82" s="63"/>
      <c r="Y82" s="76"/>
      <c r="Z82" s="76"/>
      <c r="AA82" s="76"/>
      <c r="AB82" s="76"/>
      <c r="AC82" s="76"/>
      <c r="AD82" s="76"/>
    </row>
    <row r="83" spans="1:30" ht="12.75">
      <c r="A83" s="77">
        <v>4250</v>
      </c>
      <c r="B83" s="75"/>
      <c r="C83" s="77">
        <v>595.2520285437338</v>
      </c>
      <c r="D83" s="77">
        <v>858.5553884477214</v>
      </c>
      <c r="E83" s="77">
        <v>1007.2325794738011</v>
      </c>
      <c r="F83" s="77">
        <v>1112.9920003185505</v>
      </c>
      <c r="G83" s="77">
        <v>1206.4833283453088</v>
      </c>
      <c r="H83" s="77">
        <v>1290.9371613294802</v>
      </c>
      <c r="K83" s="63"/>
      <c r="L83" s="63"/>
      <c r="M83" s="63"/>
      <c r="N83" s="63"/>
      <c r="O83" s="63"/>
      <c r="P83" s="63"/>
      <c r="Q83" s="63"/>
      <c r="R83" s="63"/>
      <c r="S83" s="63"/>
      <c r="W83" s="63"/>
      <c r="Y83" s="76"/>
      <c r="Z83" s="76"/>
      <c r="AA83" s="76"/>
      <c r="AB83" s="76"/>
      <c r="AC83" s="76"/>
      <c r="AD83" s="76"/>
    </row>
    <row r="84" spans="1:30" ht="12.75">
      <c r="A84" s="77">
        <v>4300</v>
      </c>
      <c r="B84" s="75"/>
      <c r="C84" s="77">
        <v>598.2714516221681</v>
      </c>
      <c r="D84" s="77">
        <v>862.9086660343745</v>
      </c>
      <c r="E84" s="77">
        <v>1012.3317498127292</v>
      </c>
      <c r="F84" s="77">
        <v>1118.6265835430659</v>
      </c>
      <c r="G84" s="77">
        <v>1212.5912165606835</v>
      </c>
      <c r="H84" s="77">
        <v>1297.4726017199314</v>
      </c>
      <c r="K84" s="63"/>
      <c r="L84" s="63"/>
      <c r="M84" s="63"/>
      <c r="N84" s="63"/>
      <c r="O84" s="63"/>
      <c r="P84" s="63"/>
      <c r="Q84" s="63"/>
      <c r="R84" s="63"/>
      <c r="S84" s="63"/>
      <c r="W84" s="63"/>
      <c r="Y84" s="76"/>
      <c r="Z84" s="76"/>
      <c r="AA84" s="76"/>
      <c r="AB84" s="76"/>
      <c r="AC84" s="76"/>
      <c r="AD84" s="76"/>
    </row>
    <row r="85" spans="1:30" ht="12.75">
      <c r="A85" s="77">
        <v>4350</v>
      </c>
      <c r="B85" s="75"/>
      <c r="C85" s="77">
        <v>601.2908747006024</v>
      </c>
      <c r="D85" s="77">
        <v>867.2619436210276</v>
      </c>
      <c r="E85" s="77">
        <v>1017.4309201516573</v>
      </c>
      <c r="F85" s="77">
        <v>1124.2611667675817</v>
      </c>
      <c r="G85" s="77">
        <v>1218.6991047760584</v>
      </c>
      <c r="H85" s="77">
        <v>1304.0080421103826</v>
      </c>
      <c r="K85" s="63"/>
      <c r="L85" s="63"/>
      <c r="M85" s="63"/>
      <c r="N85" s="63"/>
      <c r="O85" s="63"/>
      <c r="P85" s="63"/>
      <c r="Q85" s="63"/>
      <c r="R85" s="63"/>
      <c r="S85" s="63"/>
      <c r="W85" s="63"/>
      <c r="Y85" s="76"/>
      <c r="Z85" s="76"/>
      <c r="AA85" s="76"/>
      <c r="AB85" s="76"/>
      <c r="AC85" s="76"/>
      <c r="AD85" s="76"/>
    </row>
    <row r="86" spans="1:30" ht="12.75">
      <c r="A86" s="77">
        <v>4400</v>
      </c>
      <c r="B86" s="75"/>
      <c r="C86" s="77">
        <v>604.3102977790369</v>
      </c>
      <c r="D86" s="77">
        <v>871.6152212076807</v>
      </c>
      <c r="E86" s="77">
        <v>1022.5300904905855</v>
      </c>
      <c r="F86" s="77">
        <v>1129.8957499920973</v>
      </c>
      <c r="G86" s="77">
        <v>1224.8069929914334</v>
      </c>
      <c r="H86" s="77">
        <v>1310.5434825008338</v>
      </c>
      <c r="K86" s="63"/>
      <c r="L86" s="63"/>
      <c r="M86" s="63"/>
      <c r="N86" s="63"/>
      <c r="O86" s="63"/>
      <c r="P86" s="63"/>
      <c r="Q86" s="63"/>
      <c r="R86" s="63"/>
      <c r="S86" s="63"/>
      <c r="W86" s="63"/>
      <c r="Y86" s="76"/>
      <c r="Z86" s="76"/>
      <c r="AA86" s="76"/>
      <c r="AB86" s="76"/>
      <c r="AC86" s="76"/>
      <c r="AD86" s="76"/>
    </row>
    <row r="87" spans="1:30" ht="12.75">
      <c r="A87" s="77">
        <v>4450</v>
      </c>
      <c r="B87" s="75"/>
      <c r="C87" s="77">
        <v>607.3297208574712</v>
      </c>
      <c r="D87" s="77">
        <v>875.9684987943339</v>
      </c>
      <c r="E87" s="77">
        <v>1027.6292608295137</v>
      </c>
      <c r="F87" s="77">
        <v>1135.5303332166127</v>
      </c>
      <c r="G87" s="77">
        <v>1230.9148812068083</v>
      </c>
      <c r="H87" s="77">
        <v>1317.078922891285</v>
      </c>
      <c r="K87" s="63"/>
      <c r="L87" s="63"/>
      <c r="M87" s="63"/>
      <c r="N87" s="63"/>
      <c r="O87" s="63"/>
      <c r="P87" s="63"/>
      <c r="Q87" s="63"/>
      <c r="R87" s="63"/>
      <c r="S87" s="63"/>
      <c r="W87" s="63"/>
      <c r="Y87" s="76"/>
      <c r="Z87" s="76"/>
      <c r="AA87" s="76"/>
      <c r="AB87" s="76"/>
      <c r="AC87" s="76"/>
      <c r="AD87" s="76"/>
    </row>
    <row r="88" spans="1:30" ht="12.75">
      <c r="A88" s="77">
        <v>4500</v>
      </c>
      <c r="B88" s="75"/>
      <c r="C88" s="77">
        <v>610.3491439359055</v>
      </c>
      <c r="D88" s="77">
        <v>880.321776380987</v>
      </c>
      <c r="E88" s="77">
        <v>1032.7284311684416</v>
      </c>
      <c r="F88" s="77">
        <v>1141.1649164411283</v>
      </c>
      <c r="G88" s="77">
        <v>1237.022769422183</v>
      </c>
      <c r="H88" s="77">
        <v>1323.614363281736</v>
      </c>
      <c r="K88" s="63"/>
      <c r="L88" s="63"/>
      <c r="M88" s="63"/>
      <c r="N88" s="63"/>
      <c r="O88" s="63"/>
      <c r="P88" s="63"/>
      <c r="Q88" s="63"/>
      <c r="R88" s="63"/>
      <c r="S88" s="63"/>
      <c r="W88" s="63"/>
      <c r="Y88" s="76"/>
      <c r="Z88" s="76"/>
      <c r="AA88" s="76"/>
      <c r="AB88" s="76"/>
      <c r="AC88" s="76"/>
      <c r="AD88" s="76"/>
    </row>
    <row r="89" spans="1:30" ht="12.75">
      <c r="A89" s="77">
        <v>4550</v>
      </c>
      <c r="B89" s="75"/>
      <c r="C89" s="77">
        <v>613.3685670143399</v>
      </c>
      <c r="D89" s="77">
        <v>884.6750539676401</v>
      </c>
      <c r="E89" s="77">
        <v>1037.8276015073698</v>
      </c>
      <c r="F89" s="77">
        <v>1146.799499665644</v>
      </c>
      <c r="G89" s="77">
        <v>1243.130657637558</v>
      </c>
      <c r="H89" s="77">
        <v>1330.149803672187</v>
      </c>
      <c r="K89" s="63"/>
      <c r="L89" s="63"/>
      <c r="M89" s="63"/>
      <c r="N89" s="63"/>
      <c r="O89" s="63"/>
      <c r="P89" s="63"/>
      <c r="Q89" s="63"/>
      <c r="R89" s="63"/>
      <c r="S89" s="63"/>
      <c r="W89" s="63"/>
      <c r="Y89" s="76"/>
      <c r="Z89" s="76"/>
      <c r="AA89" s="76"/>
      <c r="AB89" s="76"/>
      <c r="AC89" s="76"/>
      <c r="AD89" s="76"/>
    </row>
    <row r="90" spans="1:30" ht="12.75">
      <c r="A90" s="77">
        <v>4600</v>
      </c>
      <c r="B90" s="75"/>
      <c r="C90" s="77">
        <v>617.0093631153358</v>
      </c>
      <c r="D90" s="77">
        <v>889.8892488298395</v>
      </c>
      <c r="E90" s="77">
        <v>1043.9073527805604</v>
      </c>
      <c r="F90" s="77">
        <v>1153.517624822519</v>
      </c>
      <c r="G90" s="77">
        <v>1250.413105307611</v>
      </c>
      <c r="H90" s="77">
        <v>1337.9420226791437</v>
      </c>
      <c r="K90" s="63"/>
      <c r="L90" s="63"/>
      <c r="M90" s="63"/>
      <c r="N90" s="63"/>
      <c r="O90" s="63"/>
      <c r="P90" s="63"/>
      <c r="Q90" s="63"/>
      <c r="R90" s="63"/>
      <c r="S90" s="63"/>
      <c r="W90" s="63"/>
      <c r="Y90" s="76"/>
      <c r="Z90" s="76"/>
      <c r="AA90" s="76"/>
      <c r="AB90" s="76"/>
      <c r="AC90" s="76"/>
      <c r="AD90" s="76"/>
    </row>
    <row r="91" spans="1:30" ht="12.75">
      <c r="A91" s="77">
        <v>4650</v>
      </c>
      <c r="B91" s="75"/>
      <c r="C91" s="77">
        <v>621.6732597906278</v>
      </c>
      <c r="D91" s="77">
        <v>896.5209576925694</v>
      </c>
      <c r="E91" s="77">
        <v>1051.6016461734778</v>
      </c>
      <c r="F91" s="77">
        <v>1162.019819021693</v>
      </c>
      <c r="G91" s="77">
        <v>1259.6294838195151</v>
      </c>
      <c r="H91" s="77">
        <v>1347.8035476868813</v>
      </c>
      <c r="K91" s="63"/>
      <c r="L91" s="63"/>
      <c r="M91" s="63"/>
      <c r="N91" s="63"/>
      <c r="O91" s="63"/>
      <c r="P91" s="63"/>
      <c r="Q91" s="63"/>
      <c r="R91" s="63"/>
      <c r="S91" s="63"/>
      <c r="W91" s="63"/>
      <c r="Y91" s="76"/>
      <c r="Z91" s="76"/>
      <c r="AA91" s="76"/>
      <c r="AB91" s="76"/>
      <c r="AC91" s="76"/>
      <c r="AD91" s="76"/>
    </row>
    <row r="92" spans="1:30" ht="12.75">
      <c r="A92" s="77">
        <v>4700</v>
      </c>
      <c r="B92" s="75"/>
      <c r="C92" s="77">
        <v>626.3371564659196</v>
      </c>
      <c r="D92" s="77">
        <v>903.1526665552993</v>
      </c>
      <c r="E92" s="77">
        <v>1059.295939566395</v>
      </c>
      <c r="F92" s="77">
        <v>1170.5220132208665</v>
      </c>
      <c r="G92" s="77">
        <v>1268.8458623314193</v>
      </c>
      <c r="H92" s="77">
        <v>1357.6650726946189</v>
      </c>
      <c r="K92" s="63"/>
      <c r="L92" s="63"/>
      <c r="M92" s="63"/>
      <c r="N92" s="63"/>
      <c r="O92" s="63"/>
      <c r="P92" s="63"/>
      <c r="Q92" s="63"/>
      <c r="R92" s="63"/>
      <c r="S92" s="63"/>
      <c r="W92" s="63"/>
      <c r="Y92" s="76"/>
      <c r="Z92" s="76"/>
      <c r="AA92" s="76"/>
      <c r="AB92" s="76"/>
      <c r="AC92" s="76"/>
      <c r="AD92" s="76"/>
    </row>
    <row r="93" spans="1:30" ht="12.75">
      <c r="A93" s="77">
        <v>4750</v>
      </c>
      <c r="B93" s="75"/>
      <c r="C93" s="77">
        <v>631.0010531412114</v>
      </c>
      <c r="D93" s="77">
        <v>909.7843754180292</v>
      </c>
      <c r="E93" s="77">
        <v>1066.9902329593122</v>
      </c>
      <c r="F93" s="77">
        <v>1179.02420742004</v>
      </c>
      <c r="G93" s="77">
        <v>1278.0622408433235</v>
      </c>
      <c r="H93" s="77">
        <v>1367.5265977023562</v>
      </c>
      <c r="K93" s="63"/>
      <c r="L93" s="63"/>
      <c r="M93" s="63"/>
      <c r="N93" s="63"/>
      <c r="O93" s="63"/>
      <c r="P93" s="63"/>
      <c r="Q93" s="63"/>
      <c r="R93" s="63"/>
      <c r="S93" s="63"/>
      <c r="W93" s="63"/>
      <c r="Y93" s="76"/>
      <c r="Z93" s="76"/>
      <c r="AA93" s="76"/>
      <c r="AB93" s="76"/>
      <c r="AC93" s="76"/>
      <c r="AD93" s="76"/>
    </row>
    <row r="94" spans="1:30" ht="12.75">
      <c r="A94" s="77">
        <v>4800</v>
      </c>
      <c r="B94" s="75"/>
      <c r="C94" s="77">
        <v>635.6649498165033</v>
      </c>
      <c r="D94" s="77">
        <v>916.416084280759</v>
      </c>
      <c r="E94" s="77">
        <v>1074.6845263522293</v>
      </c>
      <c r="F94" s="77">
        <v>1187.5264016192134</v>
      </c>
      <c r="G94" s="77">
        <v>1287.2786193552274</v>
      </c>
      <c r="H94" s="77">
        <v>1377.3881227100935</v>
      </c>
      <c r="K94" s="63"/>
      <c r="L94" s="63"/>
      <c r="M94" s="63"/>
      <c r="N94" s="63"/>
      <c r="O94" s="63"/>
      <c r="P94" s="63"/>
      <c r="Q94" s="63"/>
      <c r="R94" s="63"/>
      <c r="S94" s="63"/>
      <c r="W94" s="63"/>
      <c r="Y94" s="76"/>
      <c r="Z94" s="76"/>
      <c r="AA94" s="76"/>
      <c r="AB94" s="76"/>
      <c r="AC94" s="76"/>
      <c r="AD94" s="76"/>
    </row>
    <row r="95" spans="1:30" ht="12.75">
      <c r="A95" s="77">
        <v>4850</v>
      </c>
      <c r="B95" s="75"/>
      <c r="C95" s="77">
        <v>640.3288464917952</v>
      </c>
      <c r="D95" s="77">
        <v>923.0477931434889</v>
      </c>
      <c r="E95" s="77">
        <v>1082.3788197451468</v>
      </c>
      <c r="F95" s="77">
        <v>1196.028595818387</v>
      </c>
      <c r="G95" s="77">
        <v>1296.4949978671318</v>
      </c>
      <c r="H95" s="77">
        <v>1387.249647717831</v>
      </c>
      <c r="K95" s="63"/>
      <c r="L95" s="63"/>
      <c r="M95" s="63"/>
      <c r="N95" s="63"/>
      <c r="O95" s="63"/>
      <c r="P95" s="63"/>
      <c r="Q95" s="63"/>
      <c r="R95" s="63"/>
      <c r="S95" s="63"/>
      <c r="W95" s="63"/>
      <c r="Y95" s="76"/>
      <c r="Z95" s="76"/>
      <c r="AA95" s="76"/>
      <c r="AB95" s="76"/>
      <c r="AC95" s="76"/>
      <c r="AD95" s="76"/>
    </row>
    <row r="96" spans="1:30" ht="12.75">
      <c r="A96" s="77">
        <v>4900</v>
      </c>
      <c r="B96" s="75"/>
      <c r="C96" s="77">
        <v>644.9927431670872</v>
      </c>
      <c r="D96" s="77">
        <v>929.6795020062189</v>
      </c>
      <c r="E96" s="77">
        <v>1090.073113138064</v>
      </c>
      <c r="F96" s="77">
        <v>1204.5307900175608</v>
      </c>
      <c r="G96" s="77">
        <v>1305.711376379036</v>
      </c>
      <c r="H96" s="77">
        <v>1397.1111727255686</v>
      </c>
      <c r="K96" s="63"/>
      <c r="L96" s="63"/>
      <c r="M96" s="63"/>
      <c r="N96" s="63"/>
      <c r="O96" s="63"/>
      <c r="P96" s="63"/>
      <c r="Q96" s="63"/>
      <c r="R96" s="63"/>
      <c r="S96" s="63"/>
      <c r="W96" s="63"/>
      <c r="Y96" s="76"/>
      <c r="Z96" s="76"/>
      <c r="AA96" s="76"/>
      <c r="AB96" s="76"/>
      <c r="AC96" s="76"/>
      <c r="AD96" s="76"/>
    </row>
    <row r="97" spans="1:30" ht="12.75">
      <c r="A97" s="77">
        <v>4950</v>
      </c>
      <c r="B97" s="75"/>
      <c r="C97" s="77">
        <v>649.6566398423789</v>
      </c>
      <c r="D97" s="77">
        <v>936.3112108689487</v>
      </c>
      <c r="E97" s="77">
        <v>1097.7674065309811</v>
      </c>
      <c r="F97" s="77">
        <v>1213.0329842167341</v>
      </c>
      <c r="G97" s="77">
        <v>1314.92775489094</v>
      </c>
      <c r="H97" s="77">
        <v>1406.972697733306</v>
      </c>
      <c r="K97" s="63"/>
      <c r="L97" s="63"/>
      <c r="M97" s="63"/>
      <c r="N97" s="63"/>
      <c r="O97" s="63"/>
      <c r="P97" s="63"/>
      <c r="Q97" s="63"/>
      <c r="R97" s="63"/>
      <c r="S97" s="63"/>
      <c r="W97" s="63"/>
      <c r="Y97" s="76"/>
      <c r="Z97" s="76"/>
      <c r="AA97" s="76"/>
      <c r="AB97" s="76"/>
      <c r="AC97" s="76"/>
      <c r="AD97" s="76"/>
    </row>
    <row r="98" spans="1:30" ht="12.75">
      <c r="A98" s="77">
        <v>5000</v>
      </c>
      <c r="B98" s="75"/>
      <c r="C98" s="77">
        <v>654.3205365176708</v>
      </c>
      <c r="D98" s="77">
        <v>942.9429197316786</v>
      </c>
      <c r="E98" s="77">
        <v>1105.4616999238985</v>
      </c>
      <c r="F98" s="77">
        <v>1221.5351784159077</v>
      </c>
      <c r="G98" s="77">
        <v>1324.1441334028443</v>
      </c>
      <c r="H98" s="77">
        <v>1416.8342227410433</v>
      </c>
      <c r="K98" s="63"/>
      <c r="L98" s="63"/>
      <c r="M98" s="63"/>
      <c r="N98" s="63"/>
      <c r="O98" s="63"/>
      <c r="P98" s="63"/>
      <c r="Q98" s="63"/>
      <c r="R98" s="63"/>
      <c r="S98" s="63"/>
      <c r="W98" s="63"/>
      <c r="Y98" s="76"/>
      <c r="Z98" s="76"/>
      <c r="AA98" s="76"/>
      <c r="AB98" s="76"/>
      <c r="AC98" s="76"/>
      <c r="AD98" s="76"/>
    </row>
    <row r="99" spans="1:30" ht="12.75">
      <c r="A99" s="77">
        <v>5050</v>
      </c>
      <c r="B99" s="75"/>
      <c r="C99" s="77">
        <v>658.9844331929627</v>
      </c>
      <c r="D99" s="77">
        <v>949.5746285944084</v>
      </c>
      <c r="E99" s="77">
        <v>1113.1559933168157</v>
      </c>
      <c r="F99" s="77">
        <v>1230.0373726150813</v>
      </c>
      <c r="G99" s="77">
        <v>1333.3605119147483</v>
      </c>
      <c r="H99" s="77">
        <v>1426.6957477487808</v>
      </c>
      <c r="K99" s="63"/>
      <c r="L99" s="63"/>
      <c r="M99" s="63"/>
      <c r="N99" s="63"/>
      <c r="O99" s="63"/>
      <c r="P99" s="63"/>
      <c r="Q99" s="63"/>
      <c r="R99" s="63"/>
      <c r="S99" s="63"/>
      <c r="W99" s="63"/>
      <c r="Y99" s="76"/>
      <c r="Z99" s="76"/>
      <c r="AA99" s="76"/>
      <c r="AB99" s="76"/>
      <c r="AC99" s="76"/>
      <c r="AD99" s="76"/>
    </row>
    <row r="100" spans="1:30" ht="12.75">
      <c r="A100" s="77">
        <v>5100</v>
      </c>
      <c r="B100" s="75"/>
      <c r="C100" s="77">
        <v>663.6483298682546</v>
      </c>
      <c r="D100" s="77">
        <v>956.2063374571384</v>
      </c>
      <c r="E100" s="77">
        <v>1120.850286709733</v>
      </c>
      <c r="F100" s="77">
        <v>1238.5395668142548</v>
      </c>
      <c r="G100" s="77">
        <v>1342.5768904266524</v>
      </c>
      <c r="H100" s="77">
        <v>1436.5572727565182</v>
      </c>
      <c r="K100" s="63"/>
      <c r="L100" s="63"/>
      <c r="M100" s="63"/>
      <c r="N100" s="63"/>
      <c r="O100" s="63"/>
      <c r="P100" s="63"/>
      <c r="Q100" s="63"/>
      <c r="R100" s="63"/>
      <c r="S100" s="63"/>
      <c r="W100" s="63"/>
      <c r="Y100" s="76"/>
      <c r="Z100" s="76"/>
      <c r="AA100" s="76"/>
      <c r="AB100" s="76"/>
      <c r="AC100" s="76"/>
      <c r="AD100" s="76"/>
    </row>
    <row r="101" spans="1:30" ht="12.75">
      <c r="A101" s="77">
        <v>5150</v>
      </c>
      <c r="B101" s="75"/>
      <c r="C101" s="77">
        <v>668.3122265435466</v>
      </c>
      <c r="D101" s="77">
        <v>962.8380463198683</v>
      </c>
      <c r="E101" s="77">
        <v>1128.5445801026503</v>
      </c>
      <c r="F101" s="77">
        <v>1247.0417610134284</v>
      </c>
      <c r="G101" s="77">
        <v>1351.7932689385568</v>
      </c>
      <c r="H101" s="77">
        <v>1446.4187977642557</v>
      </c>
      <c r="K101" s="63"/>
      <c r="L101" s="63"/>
      <c r="M101" s="63"/>
      <c r="N101" s="63"/>
      <c r="O101" s="63"/>
      <c r="P101" s="63"/>
      <c r="Q101" s="63"/>
      <c r="R101" s="63"/>
      <c r="S101" s="63"/>
      <c r="W101" s="63"/>
      <c r="Y101" s="76"/>
      <c r="Z101" s="76"/>
      <c r="AA101" s="76"/>
      <c r="AB101" s="76"/>
      <c r="AC101" s="76"/>
      <c r="AD101" s="76"/>
    </row>
    <row r="102" spans="1:30" ht="12.75">
      <c r="A102" s="77">
        <v>5200</v>
      </c>
      <c r="B102" s="75"/>
      <c r="C102" s="77">
        <v>672.9761232188383</v>
      </c>
      <c r="D102" s="77">
        <v>969.4697551825981</v>
      </c>
      <c r="E102" s="77">
        <v>1136.2388734955675</v>
      </c>
      <c r="F102" s="77">
        <v>1255.543955212602</v>
      </c>
      <c r="G102" s="77">
        <v>1361.0096474504608</v>
      </c>
      <c r="H102" s="77">
        <v>1456.280322771993</v>
      </c>
      <c r="K102" s="63"/>
      <c r="L102" s="63"/>
      <c r="M102" s="63"/>
      <c r="N102" s="63"/>
      <c r="O102" s="63"/>
      <c r="P102" s="63"/>
      <c r="Q102" s="63"/>
      <c r="R102" s="63"/>
      <c r="S102" s="63"/>
      <c r="W102" s="63"/>
      <c r="Y102" s="76"/>
      <c r="Z102" s="76"/>
      <c r="AA102" s="76"/>
      <c r="AB102" s="76"/>
      <c r="AC102" s="76"/>
      <c r="AD102" s="76"/>
    </row>
    <row r="103" spans="1:30" ht="12.75">
      <c r="A103" s="77">
        <v>5250</v>
      </c>
      <c r="B103" s="75"/>
      <c r="C103" s="77">
        <v>677.5814670500812</v>
      </c>
      <c r="D103" s="77">
        <v>976.0182063229014</v>
      </c>
      <c r="E103" s="77">
        <v>1143.8365689592276</v>
      </c>
      <c r="F103" s="77">
        <v>1263.9394086999464</v>
      </c>
      <c r="G103" s="77">
        <v>1370.1103190307422</v>
      </c>
      <c r="H103" s="77">
        <v>1466.018041362894</v>
      </c>
      <c r="K103" s="63"/>
      <c r="L103" s="63"/>
      <c r="M103" s="63"/>
      <c r="N103" s="63"/>
      <c r="O103" s="63"/>
      <c r="P103" s="63"/>
      <c r="Q103" s="63"/>
      <c r="R103" s="63"/>
      <c r="S103" s="63"/>
      <c r="W103" s="63"/>
      <c r="Y103" s="76"/>
      <c r="Z103" s="76"/>
      <c r="AA103" s="76"/>
      <c r="AB103" s="76"/>
      <c r="AC103" s="76"/>
      <c r="AD103" s="76"/>
    </row>
    <row r="104" spans="1:30" ht="12.75">
      <c r="A104" s="77">
        <v>5300</v>
      </c>
      <c r="B104" s="75"/>
      <c r="C104" s="77">
        <v>682.0013935418357</v>
      </c>
      <c r="D104" s="77">
        <v>982.3030080088538</v>
      </c>
      <c r="E104" s="77">
        <v>1151.1283709802399</v>
      </c>
      <c r="F104" s="77">
        <v>1271.9968499331649</v>
      </c>
      <c r="G104" s="77">
        <v>1378.8445853275512</v>
      </c>
      <c r="H104" s="77">
        <v>1475.3637063004796</v>
      </c>
      <c r="K104" s="63"/>
      <c r="L104" s="63"/>
      <c r="M104" s="63"/>
      <c r="N104" s="63"/>
      <c r="O104" s="63"/>
      <c r="P104" s="63"/>
      <c r="Q104" s="63"/>
      <c r="R104" s="63"/>
      <c r="S104" s="63"/>
      <c r="W104" s="63"/>
      <c r="Y104" s="76"/>
      <c r="Z104" s="76"/>
      <c r="AA104" s="76"/>
      <c r="AB104" s="76"/>
      <c r="AC104" s="76"/>
      <c r="AD104" s="76"/>
    </row>
    <row r="105" spans="1:30" ht="12.75">
      <c r="A105" s="77">
        <v>5350</v>
      </c>
      <c r="B105" s="75"/>
      <c r="C105" s="77">
        <v>685.6243701727466</v>
      </c>
      <c r="D105" s="77">
        <v>987.4918274620375</v>
      </c>
      <c r="E105" s="77">
        <v>1157.153101528928</v>
      </c>
      <c r="F105" s="77">
        <v>1278.6541771894654</v>
      </c>
      <c r="G105" s="77">
        <v>1386.0611280733808</v>
      </c>
      <c r="H105" s="77">
        <v>1483.0854070385174</v>
      </c>
      <c r="K105" s="63"/>
      <c r="L105" s="63"/>
      <c r="M105" s="63"/>
      <c r="N105" s="63"/>
      <c r="O105" s="63"/>
      <c r="P105" s="63"/>
      <c r="Q105" s="63"/>
      <c r="R105" s="63"/>
      <c r="S105" s="63"/>
      <c r="W105" s="63"/>
      <c r="Y105" s="76"/>
      <c r="Z105" s="76"/>
      <c r="AA105" s="76"/>
      <c r="AB105" s="76"/>
      <c r="AC105" s="76"/>
      <c r="AD105" s="76"/>
    </row>
    <row r="106" spans="1:30" ht="12.75">
      <c r="A106" s="77">
        <v>5400</v>
      </c>
      <c r="B106" s="75"/>
      <c r="C106" s="77">
        <v>689.0097212281116</v>
      </c>
      <c r="D106" s="77">
        <v>992.3538592192244</v>
      </c>
      <c r="E106" s="77">
        <v>1162.800030910112</v>
      </c>
      <c r="F106" s="77">
        <v>1284.8940341556738</v>
      </c>
      <c r="G106" s="77">
        <v>1392.8251330247506</v>
      </c>
      <c r="H106" s="77">
        <v>1490.3228923364832</v>
      </c>
      <c r="K106" s="63"/>
      <c r="L106" s="63"/>
      <c r="M106" s="63"/>
      <c r="N106" s="63"/>
      <c r="O106" s="63"/>
      <c r="P106" s="63"/>
      <c r="Q106" s="63"/>
      <c r="R106" s="63"/>
      <c r="S106" s="63"/>
      <c r="W106" s="63"/>
      <c r="Y106" s="76"/>
      <c r="Z106" s="76"/>
      <c r="AA106" s="76"/>
      <c r="AB106" s="76"/>
      <c r="AC106" s="76"/>
      <c r="AD106" s="76"/>
    </row>
    <row r="107" spans="1:30" ht="12.75">
      <c r="A107" s="77">
        <v>5450</v>
      </c>
      <c r="B107" s="75"/>
      <c r="C107" s="77">
        <v>692.3950722834766</v>
      </c>
      <c r="D107" s="77">
        <v>997.2158909764114</v>
      </c>
      <c r="E107" s="77">
        <v>1168.446960291296</v>
      </c>
      <c r="F107" s="77">
        <v>1291.133891121882</v>
      </c>
      <c r="G107" s="77">
        <v>1399.5891379761204</v>
      </c>
      <c r="H107" s="77">
        <v>1497.5603776344487</v>
      </c>
      <c r="K107" s="63"/>
      <c r="L107" s="63"/>
      <c r="M107" s="63"/>
      <c r="N107" s="63"/>
      <c r="O107" s="63"/>
      <c r="P107" s="63"/>
      <c r="Q107" s="63"/>
      <c r="R107" s="63"/>
      <c r="S107" s="63"/>
      <c r="W107" s="63"/>
      <c r="Y107" s="76"/>
      <c r="Z107" s="76"/>
      <c r="AA107" s="76"/>
      <c r="AB107" s="76"/>
      <c r="AC107" s="76"/>
      <c r="AD107" s="76"/>
    </row>
    <row r="108" spans="1:30" ht="12.75">
      <c r="A108" s="77">
        <v>5500</v>
      </c>
      <c r="B108" s="75"/>
      <c r="C108" s="77">
        <v>695.7804233388416</v>
      </c>
      <c r="D108" s="77">
        <v>1002.0779227335984</v>
      </c>
      <c r="E108" s="77">
        <v>1174.09388967248</v>
      </c>
      <c r="F108" s="77">
        <v>1297.3737480880905</v>
      </c>
      <c r="G108" s="77">
        <v>1406.3531429274901</v>
      </c>
      <c r="H108" s="77">
        <v>1504.7978629324145</v>
      </c>
      <c r="K108" s="63"/>
      <c r="L108" s="63"/>
      <c r="M108" s="63"/>
      <c r="N108" s="63"/>
      <c r="O108" s="63"/>
      <c r="P108" s="63"/>
      <c r="Q108" s="63"/>
      <c r="R108" s="63"/>
      <c r="S108" s="63"/>
      <c r="W108" s="63"/>
      <c r="Y108" s="76"/>
      <c r="Z108" s="76"/>
      <c r="AA108" s="76"/>
      <c r="AB108" s="76"/>
      <c r="AC108" s="76"/>
      <c r="AD108" s="76"/>
    </row>
    <row r="109" spans="1:30" ht="12.75">
      <c r="A109" s="77">
        <v>5550</v>
      </c>
      <c r="B109" s="75"/>
      <c r="C109" s="77">
        <v>699.1657743942067</v>
      </c>
      <c r="D109" s="77">
        <v>1006.9399544907855</v>
      </c>
      <c r="E109" s="77">
        <v>1179.7408190536642</v>
      </c>
      <c r="F109" s="77">
        <v>1303.613605054299</v>
      </c>
      <c r="G109" s="77">
        <v>1413.1171478788601</v>
      </c>
      <c r="H109" s="77">
        <v>1512.0353482303804</v>
      </c>
      <c r="K109" s="63"/>
      <c r="L109" s="63"/>
      <c r="M109" s="63"/>
      <c r="N109" s="63"/>
      <c r="O109" s="63"/>
      <c r="P109" s="63"/>
      <c r="Q109" s="63"/>
      <c r="R109" s="63"/>
      <c r="S109" s="63"/>
      <c r="W109" s="63"/>
      <c r="Y109" s="76"/>
      <c r="Z109" s="76"/>
      <c r="AA109" s="76"/>
      <c r="AB109" s="76"/>
      <c r="AC109" s="76"/>
      <c r="AD109" s="76"/>
    </row>
    <row r="110" spans="1:30" ht="12.75">
      <c r="A110" s="77">
        <v>5600</v>
      </c>
      <c r="B110" s="75"/>
      <c r="C110" s="77">
        <v>702.5511254495716</v>
      </c>
      <c r="D110" s="77">
        <v>1011.8019862479724</v>
      </c>
      <c r="E110" s="77">
        <v>1185.387748434848</v>
      </c>
      <c r="F110" s="77">
        <v>1309.853462020507</v>
      </c>
      <c r="G110" s="77">
        <v>1419.8811528302297</v>
      </c>
      <c r="H110" s="77">
        <v>1519.272833528346</v>
      </c>
      <c r="K110" s="63"/>
      <c r="L110" s="63"/>
      <c r="M110" s="63"/>
      <c r="N110" s="63"/>
      <c r="O110" s="63"/>
      <c r="P110" s="63"/>
      <c r="Q110" s="63"/>
      <c r="R110" s="63"/>
      <c r="S110" s="63"/>
      <c r="W110" s="63"/>
      <c r="Y110" s="76"/>
      <c r="Z110" s="76"/>
      <c r="AA110" s="76"/>
      <c r="AB110" s="76"/>
      <c r="AC110" s="76"/>
      <c r="AD110" s="76"/>
    </row>
    <row r="111" spans="1:30" ht="12.75">
      <c r="A111" s="77">
        <v>5650</v>
      </c>
      <c r="B111" s="75"/>
      <c r="C111" s="77">
        <v>705.9364765049366</v>
      </c>
      <c r="D111" s="77">
        <v>1016.6640180051594</v>
      </c>
      <c r="E111" s="77">
        <v>1191.0346778160322</v>
      </c>
      <c r="F111" s="77">
        <v>1316.0933189867155</v>
      </c>
      <c r="G111" s="77">
        <v>1426.6451577815997</v>
      </c>
      <c r="H111" s="77">
        <v>1526.5103188263117</v>
      </c>
      <c r="K111" s="63"/>
      <c r="L111" s="63"/>
      <c r="M111" s="63"/>
      <c r="N111" s="63"/>
      <c r="O111" s="63"/>
      <c r="P111" s="63"/>
      <c r="Q111" s="63"/>
      <c r="R111" s="63"/>
      <c r="S111" s="63"/>
      <c r="W111" s="63"/>
      <c r="Y111" s="76"/>
      <c r="Z111" s="76"/>
      <c r="AA111" s="76"/>
      <c r="AB111" s="76"/>
      <c r="AC111" s="76"/>
      <c r="AD111" s="76"/>
    </row>
    <row r="112" spans="1:30" ht="12.75">
      <c r="A112" s="77">
        <v>5700</v>
      </c>
      <c r="B112" s="75"/>
      <c r="C112" s="77">
        <v>709.3218275603016</v>
      </c>
      <c r="D112" s="77">
        <v>1021.5260497623464</v>
      </c>
      <c r="E112" s="77">
        <v>1196.681607197216</v>
      </c>
      <c r="F112" s="77">
        <v>1322.3331759529237</v>
      </c>
      <c r="G112" s="77">
        <v>1433.4091627329694</v>
      </c>
      <c r="H112" s="77">
        <v>1533.7478041242773</v>
      </c>
      <c r="K112" s="63"/>
      <c r="L112" s="63"/>
      <c r="M112" s="63"/>
      <c r="N112" s="63"/>
      <c r="O112" s="63"/>
      <c r="P112" s="63"/>
      <c r="Q112" s="63"/>
      <c r="R112" s="63"/>
      <c r="S112" s="63"/>
      <c r="W112" s="63"/>
      <c r="Y112" s="76"/>
      <c r="Z112" s="76"/>
      <c r="AA112" s="76"/>
      <c r="AB112" s="76"/>
      <c r="AC112" s="76"/>
      <c r="AD112" s="76"/>
    </row>
    <row r="113" spans="1:30" ht="12.75">
      <c r="A113" s="77">
        <v>5750</v>
      </c>
      <c r="B113" s="75"/>
      <c r="C113" s="77">
        <v>713.0933640166467</v>
      </c>
      <c r="D113" s="77">
        <v>1026.9427199168574</v>
      </c>
      <c r="E113" s="77">
        <v>1202.972712515168</v>
      </c>
      <c r="F113" s="77">
        <v>1329.2848473292606</v>
      </c>
      <c r="G113" s="77">
        <v>1440.9447745049185</v>
      </c>
      <c r="H113" s="77">
        <v>1541.8109087202631</v>
      </c>
      <c r="K113" s="63"/>
      <c r="L113" s="63"/>
      <c r="M113" s="63"/>
      <c r="N113" s="63"/>
      <c r="O113" s="63"/>
      <c r="P113" s="63"/>
      <c r="Q113" s="63"/>
      <c r="R113" s="63"/>
      <c r="S113" s="63"/>
      <c r="W113" s="63"/>
      <c r="Y113" s="76"/>
      <c r="Z113" s="76"/>
      <c r="AA113" s="76"/>
      <c r="AB113" s="76"/>
      <c r="AC113" s="76"/>
      <c r="AD113" s="76"/>
    </row>
    <row r="114" spans="1:30" ht="12.75">
      <c r="A114" s="77">
        <v>5800</v>
      </c>
      <c r="B114" s="75"/>
      <c r="C114" s="77">
        <v>716.8649004729916</v>
      </c>
      <c r="D114" s="77">
        <v>1032.3593900713684</v>
      </c>
      <c r="E114" s="77">
        <v>1209.2638178331201</v>
      </c>
      <c r="F114" s="77">
        <v>1336.2365187055977</v>
      </c>
      <c r="G114" s="77">
        <v>1448.4803862768679</v>
      </c>
      <c r="H114" s="77">
        <v>1549.874013316249</v>
      </c>
      <c r="K114" s="63"/>
      <c r="L114" s="63"/>
      <c r="M114" s="63"/>
      <c r="N114" s="63"/>
      <c r="O114" s="63"/>
      <c r="P114" s="63"/>
      <c r="Q114" s="63"/>
      <c r="R114" s="63"/>
      <c r="S114" s="63"/>
      <c r="W114" s="63"/>
      <c r="Y114" s="76"/>
      <c r="Z114" s="76"/>
      <c r="AA114" s="76"/>
      <c r="AB114" s="76"/>
      <c r="AC114" s="76"/>
      <c r="AD114" s="76"/>
    </row>
    <row r="115" spans="1:30" ht="12.75">
      <c r="A115" s="77">
        <v>5850</v>
      </c>
      <c r="B115" s="75"/>
      <c r="C115" s="77">
        <v>720.6364369293366</v>
      </c>
      <c r="D115" s="77">
        <v>1037.7760602258795</v>
      </c>
      <c r="E115" s="77">
        <v>1215.5549231510722</v>
      </c>
      <c r="F115" s="77">
        <v>1343.1881900819346</v>
      </c>
      <c r="G115" s="77">
        <v>1456.0159980488172</v>
      </c>
      <c r="H115" s="77">
        <v>1557.9371179122347</v>
      </c>
      <c r="K115" s="63"/>
      <c r="L115" s="63"/>
      <c r="M115" s="63"/>
      <c r="N115" s="63"/>
      <c r="O115" s="63"/>
      <c r="P115" s="63"/>
      <c r="Q115" s="63"/>
      <c r="R115" s="63"/>
      <c r="S115" s="63"/>
      <c r="W115" s="63"/>
      <c r="Y115" s="76"/>
      <c r="Z115" s="76"/>
      <c r="AA115" s="76"/>
      <c r="AB115" s="76"/>
      <c r="AC115" s="76"/>
      <c r="AD115" s="76"/>
    </row>
    <row r="116" spans="1:30" ht="12.75">
      <c r="A116" s="77">
        <v>5900</v>
      </c>
      <c r="B116" s="75"/>
      <c r="C116" s="77">
        <v>724.4079733856817</v>
      </c>
      <c r="D116" s="77">
        <v>1043.1927303803905</v>
      </c>
      <c r="E116" s="77">
        <v>1221.846028469024</v>
      </c>
      <c r="F116" s="77">
        <v>1350.1398614582718</v>
      </c>
      <c r="G116" s="77">
        <v>1463.5516098207663</v>
      </c>
      <c r="H116" s="77">
        <v>1566.0002225082203</v>
      </c>
      <c r="K116" s="63"/>
      <c r="L116" s="63"/>
      <c r="M116" s="63"/>
      <c r="N116" s="63"/>
      <c r="O116" s="63"/>
      <c r="P116" s="63"/>
      <c r="Q116" s="63"/>
      <c r="R116" s="63"/>
      <c r="S116" s="63"/>
      <c r="W116" s="63"/>
      <c r="Y116" s="76"/>
      <c r="Z116" s="76"/>
      <c r="AA116" s="76"/>
      <c r="AB116" s="76"/>
      <c r="AC116" s="76"/>
      <c r="AD116" s="76"/>
    </row>
    <row r="117" spans="1:30" ht="12.75">
      <c r="A117" s="77">
        <v>5950</v>
      </c>
      <c r="B117" s="75"/>
      <c r="C117" s="77">
        <v>728.1795098420266</v>
      </c>
      <c r="D117" s="77">
        <v>1048.6094005349014</v>
      </c>
      <c r="E117" s="77">
        <v>1228.1371337869762</v>
      </c>
      <c r="F117" s="77">
        <v>1357.0915328346086</v>
      </c>
      <c r="G117" s="77">
        <v>1471.0872215927157</v>
      </c>
      <c r="H117" s="77">
        <v>1574.063327104206</v>
      </c>
      <c r="K117" s="63"/>
      <c r="L117" s="63"/>
      <c r="M117" s="63"/>
      <c r="N117" s="63"/>
      <c r="O117" s="63"/>
      <c r="P117" s="63"/>
      <c r="Q117" s="63"/>
      <c r="R117" s="63"/>
      <c r="S117" s="63"/>
      <c r="W117" s="63"/>
      <c r="Y117" s="76"/>
      <c r="Z117" s="76"/>
      <c r="AA117" s="76"/>
      <c r="AB117" s="76"/>
      <c r="AC117" s="76"/>
      <c r="AD117" s="76"/>
    </row>
    <row r="118" spans="1:30" ht="12.75">
      <c r="A118" s="77">
        <v>6000</v>
      </c>
      <c r="B118" s="75"/>
      <c r="C118" s="77">
        <v>731.9510462983716</v>
      </c>
      <c r="D118" s="77">
        <v>1054.0260706894123</v>
      </c>
      <c r="E118" s="77">
        <v>1234.4282391049283</v>
      </c>
      <c r="F118" s="77">
        <v>1364.0432042109455</v>
      </c>
      <c r="G118" s="77">
        <v>1478.6228333646648</v>
      </c>
      <c r="H118" s="77">
        <v>1582.1264317001917</v>
      </c>
      <c r="K118" s="63"/>
      <c r="L118" s="63"/>
      <c r="M118" s="63"/>
      <c r="N118" s="63"/>
      <c r="O118" s="63"/>
      <c r="P118" s="63"/>
      <c r="Q118" s="63"/>
      <c r="R118" s="63"/>
      <c r="S118" s="63"/>
      <c r="W118" s="63"/>
      <c r="Y118" s="76"/>
      <c r="Z118" s="76"/>
      <c r="AA118" s="76"/>
      <c r="AB118" s="76"/>
      <c r="AC118" s="76"/>
      <c r="AD118" s="76"/>
    </row>
    <row r="119" spans="1:30" ht="12.75">
      <c r="A119" s="77">
        <v>6050</v>
      </c>
      <c r="B119" s="75"/>
      <c r="C119" s="77">
        <v>735.9645490100168</v>
      </c>
      <c r="D119" s="77">
        <v>1059.7807738896586</v>
      </c>
      <c r="E119" s="77">
        <v>1241.1153334837836</v>
      </c>
      <c r="F119" s="77">
        <v>1371.4324434995808</v>
      </c>
      <c r="G119" s="77">
        <v>1486.6327687535456</v>
      </c>
      <c r="H119" s="77">
        <v>1590.697062566294</v>
      </c>
      <c r="K119" s="63"/>
      <c r="L119" s="63"/>
      <c r="M119" s="63"/>
      <c r="N119" s="63"/>
      <c r="O119" s="63"/>
      <c r="P119" s="63"/>
      <c r="Q119" s="63"/>
      <c r="R119" s="63"/>
      <c r="S119" s="63"/>
      <c r="W119" s="63"/>
      <c r="Y119" s="76"/>
      <c r="Z119" s="76"/>
      <c r="AA119" s="76"/>
      <c r="AB119" s="76"/>
      <c r="AC119" s="76"/>
      <c r="AD119" s="76"/>
    </row>
    <row r="120" spans="1:30" ht="12.75">
      <c r="A120" s="77">
        <v>6100</v>
      </c>
      <c r="B120" s="75"/>
      <c r="C120" s="77">
        <v>740.8777262527317</v>
      </c>
      <c r="D120" s="77">
        <v>1066.7923454145011</v>
      </c>
      <c r="E120" s="77">
        <v>1249.2747871890886</v>
      </c>
      <c r="F120" s="77">
        <v>1380.4486398439428</v>
      </c>
      <c r="G120" s="77">
        <v>1496.4063255908343</v>
      </c>
      <c r="H120" s="77">
        <v>1601.1547683821927</v>
      </c>
      <c r="K120" s="63"/>
      <c r="L120" s="63"/>
      <c r="M120" s="63"/>
      <c r="N120" s="63"/>
      <c r="O120" s="63"/>
      <c r="P120" s="63"/>
      <c r="Q120" s="63"/>
      <c r="R120" s="63"/>
      <c r="S120" s="63"/>
      <c r="W120" s="63"/>
      <c r="Y120" s="76"/>
      <c r="Z120" s="76"/>
      <c r="AA120" s="76"/>
      <c r="AB120" s="76"/>
      <c r="AC120" s="76"/>
      <c r="AD120" s="76"/>
    </row>
    <row r="121" spans="1:30" ht="12.75">
      <c r="A121" s="77">
        <v>6150</v>
      </c>
      <c r="B121" s="75"/>
      <c r="C121" s="77">
        <v>745.7909034954467</v>
      </c>
      <c r="D121" s="77">
        <v>1073.8039169393435</v>
      </c>
      <c r="E121" s="77">
        <v>1257.4342408943937</v>
      </c>
      <c r="F121" s="77">
        <v>1389.464836188305</v>
      </c>
      <c r="G121" s="77">
        <v>1506.1798824281227</v>
      </c>
      <c r="H121" s="77">
        <v>1611.6124741980914</v>
      </c>
      <c r="K121" s="63"/>
      <c r="L121" s="63"/>
      <c r="M121" s="63"/>
      <c r="N121" s="63"/>
      <c r="O121" s="63"/>
      <c r="P121" s="63"/>
      <c r="Q121" s="63"/>
      <c r="R121" s="63"/>
      <c r="S121" s="63"/>
      <c r="W121" s="63"/>
      <c r="Y121" s="76"/>
      <c r="Z121" s="76"/>
      <c r="AA121" s="76"/>
      <c r="AB121" s="76"/>
      <c r="AC121" s="76"/>
      <c r="AD121" s="76"/>
    </row>
    <row r="122" spans="1:30" ht="12.75">
      <c r="A122" s="77">
        <v>6200</v>
      </c>
      <c r="B122" s="75"/>
      <c r="C122" s="77">
        <v>750.7040807381617</v>
      </c>
      <c r="D122" s="77">
        <v>1080.815488464186</v>
      </c>
      <c r="E122" s="77">
        <v>1265.5936945996987</v>
      </c>
      <c r="F122" s="77">
        <v>1398.4810325326669</v>
      </c>
      <c r="G122" s="77">
        <v>1515.953439265411</v>
      </c>
      <c r="H122" s="77">
        <v>1622.0701800139898</v>
      </c>
      <c r="K122" s="63"/>
      <c r="L122" s="63"/>
      <c r="M122" s="63"/>
      <c r="N122" s="63"/>
      <c r="O122" s="63"/>
      <c r="P122" s="63"/>
      <c r="Q122" s="63"/>
      <c r="R122" s="63"/>
      <c r="S122" s="63"/>
      <c r="W122" s="63"/>
      <c r="Y122" s="76"/>
      <c r="Z122" s="76"/>
      <c r="AA122" s="76"/>
      <c r="AB122" s="76"/>
      <c r="AC122" s="76"/>
      <c r="AD122" s="76"/>
    </row>
    <row r="123" spans="1:30" ht="12.75">
      <c r="A123" s="77">
        <v>6250</v>
      </c>
      <c r="B123" s="75"/>
      <c r="C123" s="77">
        <v>755.6172579808767</v>
      </c>
      <c r="D123" s="77">
        <v>1087.8270599890284</v>
      </c>
      <c r="E123" s="77">
        <v>1273.7531483050036</v>
      </c>
      <c r="F123" s="77">
        <v>1407.4972288770289</v>
      </c>
      <c r="G123" s="77">
        <v>1525.7269961026996</v>
      </c>
      <c r="H123" s="77">
        <v>1632.5278858298884</v>
      </c>
      <c r="K123" s="63"/>
      <c r="L123" s="63"/>
      <c r="M123" s="63"/>
      <c r="N123" s="63"/>
      <c r="O123" s="63"/>
      <c r="P123" s="63"/>
      <c r="Q123" s="63"/>
      <c r="R123" s="63"/>
      <c r="S123" s="63"/>
      <c r="W123" s="63"/>
      <c r="Y123" s="76"/>
      <c r="Z123" s="76"/>
      <c r="AA123" s="76"/>
      <c r="AB123" s="76"/>
      <c r="AC123" s="76"/>
      <c r="AD123" s="76"/>
    </row>
    <row r="124" spans="1:30" ht="12.75">
      <c r="A124" s="77">
        <v>6300</v>
      </c>
      <c r="B124" s="75"/>
      <c r="C124" s="77">
        <v>760.5304352235918</v>
      </c>
      <c r="D124" s="77">
        <v>1094.838631513871</v>
      </c>
      <c r="E124" s="77">
        <v>1281.9126020103085</v>
      </c>
      <c r="F124" s="77">
        <v>1416.513425221391</v>
      </c>
      <c r="G124" s="77">
        <v>1535.500552939988</v>
      </c>
      <c r="H124" s="77">
        <v>1642.985591645787</v>
      </c>
      <c r="K124" s="63"/>
      <c r="L124" s="63"/>
      <c r="M124" s="63"/>
      <c r="N124" s="63"/>
      <c r="O124" s="63"/>
      <c r="P124" s="63"/>
      <c r="Q124" s="63"/>
      <c r="R124" s="63"/>
      <c r="S124" s="63"/>
      <c r="W124" s="63"/>
      <c r="Y124" s="76"/>
      <c r="Z124" s="76"/>
      <c r="AA124" s="76"/>
      <c r="AB124" s="76"/>
      <c r="AC124" s="76"/>
      <c r="AD124" s="76"/>
    </row>
    <row r="125" spans="1:30" ht="12.75">
      <c r="A125" s="77">
        <v>6350</v>
      </c>
      <c r="B125" s="75"/>
      <c r="C125" s="77">
        <v>765.4436124663067</v>
      </c>
      <c r="D125" s="77">
        <v>1101.8502030387133</v>
      </c>
      <c r="E125" s="77">
        <v>1290.0720557156135</v>
      </c>
      <c r="F125" s="77">
        <v>1425.529621565753</v>
      </c>
      <c r="G125" s="77">
        <v>1545.2741097772762</v>
      </c>
      <c r="H125" s="77">
        <v>1653.4432974616857</v>
      </c>
      <c r="K125" s="63"/>
      <c r="L125" s="63"/>
      <c r="M125" s="63"/>
      <c r="N125" s="63"/>
      <c r="O125" s="63"/>
      <c r="P125" s="63"/>
      <c r="Q125" s="63"/>
      <c r="R125" s="63"/>
      <c r="S125" s="63"/>
      <c r="W125" s="63"/>
      <c r="Y125" s="76"/>
      <c r="Z125" s="76"/>
      <c r="AA125" s="76"/>
      <c r="AB125" s="76"/>
      <c r="AC125" s="76"/>
      <c r="AD125" s="76"/>
    </row>
    <row r="126" spans="1:30" ht="12.75">
      <c r="A126" s="77">
        <v>6400</v>
      </c>
      <c r="B126" s="75"/>
      <c r="C126" s="77">
        <v>770.3567897090218</v>
      </c>
      <c r="D126" s="77">
        <v>1108.861774563556</v>
      </c>
      <c r="E126" s="77">
        <v>1298.2315094209187</v>
      </c>
      <c r="F126" s="77">
        <v>1434.5458179101151</v>
      </c>
      <c r="G126" s="77">
        <v>1555.0476666145648</v>
      </c>
      <c r="H126" s="77">
        <v>1663.9010032775843</v>
      </c>
      <c r="K126" s="63"/>
      <c r="L126" s="63"/>
      <c r="M126" s="63"/>
      <c r="N126" s="63"/>
      <c r="O126" s="63"/>
      <c r="P126" s="63"/>
      <c r="Q126" s="63"/>
      <c r="R126" s="63"/>
      <c r="S126" s="63"/>
      <c r="W126" s="63"/>
      <c r="Y126" s="76"/>
      <c r="Z126" s="76"/>
      <c r="AA126" s="76"/>
      <c r="AB126" s="76"/>
      <c r="AC126" s="76"/>
      <c r="AD126" s="76"/>
    </row>
    <row r="127" spans="1:30" ht="12.75">
      <c r="A127" s="77">
        <v>6450</v>
      </c>
      <c r="B127" s="75"/>
      <c r="C127" s="77">
        <v>775.2699669517367</v>
      </c>
      <c r="D127" s="77">
        <v>1115.8733460883984</v>
      </c>
      <c r="E127" s="77">
        <v>1306.3909631262236</v>
      </c>
      <c r="F127" s="77">
        <v>1443.562014254477</v>
      </c>
      <c r="G127" s="77">
        <v>1564.8212234518533</v>
      </c>
      <c r="H127" s="77">
        <v>1674.358709093483</v>
      </c>
      <c r="K127" s="63"/>
      <c r="L127" s="63"/>
      <c r="M127" s="63"/>
      <c r="N127" s="63"/>
      <c r="O127" s="63"/>
      <c r="P127" s="63"/>
      <c r="Q127" s="63"/>
      <c r="R127" s="63"/>
      <c r="S127" s="63"/>
      <c r="W127" s="63"/>
      <c r="Y127" s="76"/>
      <c r="Z127" s="76"/>
      <c r="AA127" s="76"/>
      <c r="AB127" s="76"/>
      <c r="AC127" s="76"/>
      <c r="AD127" s="76"/>
    </row>
    <row r="128" spans="1:30" ht="12.75">
      <c r="A128" s="77">
        <v>6500</v>
      </c>
      <c r="B128" s="75"/>
      <c r="C128" s="77">
        <v>780.1831441944519</v>
      </c>
      <c r="D128" s="77">
        <v>1122.884917613241</v>
      </c>
      <c r="E128" s="77">
        <v>1314.5504168315288</v>
      </c>
      <c r="F128" s="77">
        <v>1452.5782105988392</v>
      </c>
      <c r="G128" s="77">
        <v>1574.594780289142</v>
      </c>
      <c r="H128" s="77">
        <v>1684.8164149093816</v>
      </c>
      <c r="K128" s="63"/>
      <c r="L128" s="63"/>
      <c r="M128" s="63"/>
      <c r="N128" s="63"/>
      <c r="O128" s="63"/>
      <c r="P128" s="63"/>
      <c r="Q128" s="63"/>
      <c r="R128" s="63"/>
      <c r="S128" s="63"/>
      <c r="W128" s="63"/>
      <c r="Y128" s="76"/>
      <c r="Z128" s="76"/>
      <c r="AA128" s="76"/>
      <c r="AB128" s="76"/>
      <c r="AC128" s="76"/>
      <c r="AD128" s="76"/>
    </row>
    <row r="129" spans="1:30" ht="12.75">
      <c r="A129" s="77">
        <v>6550</v>
      </c>
      <c r="B129" s="75"/>
      <c r="C129" s="77">
        <v>785.0963214371668</v>
      </c>
      <c r="D129" s="77">
        <v>1129.8964891380833</v>
      </c>
      <c r="E129" s="77">
        <v>1322.7098705368337</v>
      </c>
      <c r="F129" s="77">
        <v>1461.5944069432012</v>
      </c>
      <c r="G129" s="77">
        <v>1584.36833712643</v>
      </c>
      <c r="H129" s="77">
        <v>1695.2741207252802</v>
      </c>
      <c r="K129" s="63"/>
      <c r="L129" s="63"/>
      <c r="M129" s="63"/>
      <c r="N129" s="63"/>
      <c r="O129" s="63"/>
      <c r="P129" s="63"/>
      <c r="Q129" s="63"/>
      <c r="R129" s="63"/>
      <c r="S129" s="63"/>
      <c r="W129" s="63"/>
      <c r="Y129" s="76"/>
      <c r="Z129" s="76"/>
      <c r="AA129" s="76"/>
      <c r="AB129" s="76"/>
      <c r="AC129" s="76"/>
      <c r="AD129" s="76"/>
    </row>
    <row r="130" spans="1:30" ht="12.75">
      <c r="A130" s="77">
        <v>6600</v>
      </c>
      <c r="B130" s="75"/>
      <c r="C130" s="77">
        <v>790.0094986798817</v>
      </c>
      <c r="D130" s="77">
        <v>1136.908060662926</v>
      </c>
      <c r="E130" s="77">
        <v>1330.8693242421386</v>
      </c>
      <c r="F130" s="77">
        <v>1470.610603287563</v>
      </c>
      <c r="G130" s="77">
        <v>1594.1418939637185</v>
      </c>
      <c r="H130" s="77">
        <v>1705.7318265411786</v>
      </c>
      <c r="K130" s="63"/>
      <c r="L130" s="63"/>
      <c r="M130" s="63"/>
      <c r="N130" s="63"/>
      <c r="O130" s="63"/>
      <c r="P130" s="63"/>
      <c r="Q130" s="63"/>
      <c r="R130" s="63"/>
      <c r="S130" s="63"/>
      <c r="W130" s="63"/>
      <c r="Y130" s="76"/>
      <c r="Z130" s="76"/>
      <c r="AA130" s="76"/>
      <c r="AB130" s="76"/>
      <c r="AC130" s="76"/>
      <c r="AD130" s="76"/>
    </row>
    <row r="131" spans="1:30" ht="12.75">
      <c r="A131" s="77">
        <v>6650</v>
      </c>
      <c r="B131" s="75"/>
      <c r="C131" s="77">
        <v>794.9226759225968</v>
      </c>
      <c r="D131" s="77">
        <v>1143.9196321877685</v>
      </c>
      <c r="E131" s="77">
        <v>1339.0287779474438</v>
      </c>
      <c r="F131" s="77">
        <v>1479.6267996319252</v>
      </c>
      <c r="G131" s="77">
        <v>1603.9154508010072</v>
      </c>
      <c r="H131" s="77">
        <v>1716.1895323570775</v>
      </c>
      <c r="K131" s="63"/>
      <c r="L131" s="63"/>
      <c r="M131" s="63"/>
      <c r="N131" s="63"/>
      <c r="O131" s="63"/>
      <c r="P131" s="63"/>
      <c r="Q131" s="63"/>
      <c r="R131" s="63"/>
      <c r="S131" s="63"/>
      <c r="W131" s="63"/>
      <c r="Y131" s="76"/>
      <c r="Z131" s="76"/>
      <c r="AA131" s="76"/>
      <c r="AB131" s="76"/>
      <c r="AC131" s="76"/>
      <c r="AD131" s="76"/>
    </row>
    <row r="132" spans="1:30" ht="12.75">
      <c r="A132" s="77">
        <v>6700</v>
      </c>
      <c r="B132" s="75"/>
      <c r="C132" s="77">
        <v>799.8358531653118</v>
      </c>
      <c r="D132" s="77">
        <v>1150.9312037126108</v>
      </c>
      <c r="E132" s="77">
        <v>1347.1882316527485</v>
      </c>
      <c r="F132" s="77">
        <v>1488.642995976287</v>
      </c>
      <c r="G132" s="77">
        <v>1613.6890076382954</v>
      </c>
      <c r="H132" s="77">
        <v>1726.647238172976</v>
      </c>
      <c r="K132" s="63"/>
      <c r="L132" s="63"/>
      <c r="M132" s="63"/>
      <c r="N132" s="63"/>
      <c r="O132" s="63"/>
      <c r="P132" s="63"/>
      <c r="Q132" s="63"/>
      <c r="R132" s="63"/>
      <c r="S132" s="63"/>
      <c r="W132" s="63"/>
      <c r="Y132" s="76"/>
      <c r="Z132" s="76"/>
      <c r="AA132" s="76"/>
      <c r="AB132" s="76"/>
      <c r="AC132" s="76"/>
      <c r="AD132" s="76"/>
    </row>
    <row r="133" spans="1:30" ht="12.75">
      <c r="A133" s="77">
        <v>6750</v>
      </c>
      <c r="B133" s="75"/>
      <c r="C133" s="77">
        <v>804.7490304080269</v>
      </c>
      <c r="D133" s="77">
        <v>1157.9427752374534</v>
      </c>
      <c r="E133" s="77">
        <v>1355.3476853580537</v>
      </c>
      <c r="F133" s="77">
        <v>1497.6591923206493</v>
      </c>
      <c r="G133" s="77">
        <v>1623.462564475584</v>
      </c>
      <c r="H133" s="77">
        <v>1737.1049439888748</v>
      </c>
      <c r="K133" s="63"/>
      <c r="L133" s="63"/>
      <c r="M133" s="63"/>
      <c r="N133" s="63"/>
      <c r="O133" s="63"/>
      <c r="P133" s="63"/>
      <c r="Q133" s="63"/>
      <c r="R133" s="63"/>
      <c r="S133" s="63"/>
      <c r="W133" s="63"/>
      <c r="Y133" s="76"/>
      <c r="Z133" s="76"/>
      <c r="AA133" s="76"/>
      <c r="AB133" s="76"/>
      <c r="AC133" s="76"/>
      <c r="AD133" s="76"/>
    </row>
    <row r="134" spans="1:30" ht="12.75">
      <c r="A134" s="77">
        <v>6800</v>
      </c>
      <c r="B134" s="75"/>
      <c r="C134" s="77">
        <v>809.6622076507418</v>
      </c>
      <c r="D134" s="77">
        <v>1164.9543467622957</v>
      </c>
      <c r="E134" s="77">
        <v>1363.5071390633586</v>
      </c>
      <c r="F134" s="77">
        <v>1506.6753886650113</v>
      </c>
      <c r="G134" s="77">
        <v>1633.2361213128725</v>
      </c>
      <c r="H134" s="77">
        <v>1747.5626498047732</v>
      </c>
      <c r="K134" s="63"/>
      <c r="L134" s="63"/>
      <c r="M134" s="63"/>
      <c r="N134" s="63"/>
      <c r="O134" s="63"/>
      <c r="P134" s="63"/>
      <c r="Q134" s="63"/>
      <c r="R134" s="63"/>
      <c r="S134" s="63"/>
      <c r="W134" s="63"/>
      <c r="Y134" s="76"/>
      <c r="Z134" s="76"/>
      <c r="AA134" s="76"/>
      <c r="AB134" s="76"/>
      <c r="AC134" s="76"/>
      <c r="AD134" s="76"/>
    </row>
    <row r="135" spans="1:30" ht="12.75">
      <c r="A135" s="77">
        <v>6850</v>
      </c>
      <c r="B135" s="75"/>
      <c r="C135" s="77">
        <v>814.5753848934568</v>
      </c>
      <c r="D135" s="77">
        <v>1171.9659182871383</v>
      </c>
      <c r="E135" s="77">
        <v>1371.6665927686636</v>
      </c>
      <c r="F135" s="77">
        <v>1515.691585009373</v>
      </c>
      <c r="G135" s="77">
        <v>1643.0096781501607</v>
      </c>
      <c r="H135" s="77">
        <v>1758.0203556206718</v>
      </c>
      <c r="K135" s="63"/>
      <c r="L135" s="63"/>
      <c r="M135" s="63"/>
      <c r="N135" s="63"/>
      <c r="O135" s="63"/>
      <c r="P135" s="63"/>
      <c r="Q135" s="63"/>
      <c r="R135" s="63"/>
      <c r="S135" s="63"/>
      <c r="W135" s="63"/>
      <c r="Y135" s="76"/>
      <c r="Z135" s="76"/>
      <c r="AA135" s="76"/>
      <c r="AB135" s="76"/>
      <c r="AC135" s="76"/>
      <c r="AD135" s="76"/>
    </row>
    <row r="136" spans="1:30" ht="12.75">
      <c r="A136" s="77">
        <v>6900</v>
      </c>
      <c r="B136" s="75"/>
      <c r="C136" s="77">
        <v>819.4885621361718</v>
      </c>
      <c r="D136" s="77">
        <v>1178.9774898119808</v>
      </c>
      <c r="E136" s="77">
        <v>1379.8260464739687</v>
      </c>
      <c r="F136" s="77">
        <v>1524.7077813537353</v>
      </c>
      <c r="G136" s="77">
        <v>1652.7832349874493</v>
      </c>
      <c r="H136" s="77">
        <v>1768.4780614365704</v>
      </c>
      <c r="K136" s="63"/>
      <c r="L136" s="63"/>
      <c r="M136" s="63"/>
      <c r="N136" s="63"/>
      <c r="O136" s="63"/>
      <c r="P136" s="63"/>
      <c r="Q136" s="63"/>
      <c r="R136" s="63"/>
      <c r="S136" s="63"/>
      <c r="W136" s="63"/>
      <c r="Y136" s="76"/>
      <c r="Z136" s="76"/>
      <c r="AA136" s="76"/>
      <c r="AB136" s="76"/>
      <c r="AC136" s="76"/>
      <c r="AD136" s="76"/>
    </row>
    <row r="137" spans="1:30" ht="12.75">
      <c r="A137" s="77">
        <v>6950</v>
      </c>
      <c r="B137" s="75"/>
      <c r="C137" s="77">
        <v>824.4017393788869</v>
      </c>
      <c r="D137" s="77">
        <v>1185.9890613368232</v>
      </c>
      <c r="E137" s="77">
        <v>1387.9855001792737</v>
      </c>
      <c r="F137" s="77">
        <v>1533.7239776980973</v>
      </c>
      <c r="G137" s="77">
        <v>1662.5567918247375</v>
      </c>
      <c r="H137" s="77">
        <v>1778.935767252469</v>
      </c>
      <c r="K137" s="63"/>
      <c r="L137" s="63"/>
      <c r="M137" s="63"/>
      <c r="N137" s="63"/>
      <c r="O137" s="63"/>
      <c r="P137" s="63"/>
      <c r="Q137" s="63"/>
      <c r="R137" s="63"/>
      <c r="S137" s="63"/>
      <c r="W137" s="63"/>
      <c r="Y137" s="76"/>
      <c r="Z137" s="76"/>
      <c r="AA137" s="76"/>
      <c r="AB137" s="76"/>
      <c r="AC137" s="76"/>
      <c r="AD137" s="76"/>
    </row>
    <row r="138" spans="1:30" ht="12.75">
      <c r="A138" s="77">
        <v>7000</v>
      </c>
      <c r="B138" s="75"/>
      <c r="C138" s="77">
        <v>829.3149166216019</v>
      </c>
      <c r="D138" s="77">
        <v>1193.0006328616657</v>
      </c>
      <c r="E138" s="77">
        <v>1396.1449538845789</v>
      </c>
      <c r="F138" s="77">
        <v>1542.7401740424593</v>
      </c>
      <c r="G138" s="77">
        <v>1672.3303486620262</v>
      </c>
      <c r="H138" s="77">
        <v>1789.3934730683677</v>
      </c>
      <c r="K138" s="63"/>
      <c r="L138" s="63"/>
      <c r="M138" s="63"/>
      <c r="N138" s="63"/>
      <c r="O138" s="63"/>
      <c r="P138" s="63"/>
      <c r="Q138" s="63"/>
      <c r="R138" s="63"/>
      <c r="S138" s="63"/>
      <c r="W138" s="63"/>
      <c r="Y138" s="76"/>
      <c r="Z138" s="76"/>
      <c r="AA138" s="76"/>
      <c r="AB138" s="76"/>
      <c r="AC138" s="76"/>
      <c r="AD138" s="76"/>
    </row>
    <row r="139" spans="1:30" ht="12.75">
      <c r="A139" s="77">
        <v>7050</v>
      </c>
      <c r="B139" s="75"/>
      <c r="C139" s="77">
        <v>834.2280938643169</v>
      </c>
      <c r="D139" s="77">
        <v>1200.0122043865083</v>
      </c>
      <c r="E139" s="77">
        <v>1404.3044075898838</v>
      </c>
      <c r="F139" s="77">
        <v>1551.7563703868213</v>
      </c>
      <c r="G139" s="77">
        <v>1682.1039054993146</v>
      </c>
      <c r="H139" s="77">
        <v>1799.8511788842663</v>
      </c>
      <c r="K139" s="63"/>
      <c r="L139" s="63"/>
      <c r="M139" s="63"/>
      <c r="N139" s="63"/>
      <c r="O139" s="63"/>
      <c r="P139" s="63"/>
      <c r="Q139" s="63"/>
      <c r="R139" s="63"/>
      <c r="S139" s="63"/>
      <c r="W139" s="63"/>
      <c r="Y139" s="76"/>
      <c r="Z139" s="76"/>
      <c r="AA139" s="76"/>
      <c r="AB139" s="76"/>
      <c r="AC139" s="76"/>
      <c r="AD139" s="76"/>
    </row>
    <row r="140" spans="1:30" ht="12.75">
      <c r="A140" s="77">
        <v>7100</v>
      </c>
      <c r="B140" s="75"/>
      <c r="C140" s="77">
        <v>838.4520549215807</v>
      </c>
      <c r="D140" s="77">
        <v>1206.0892198698532</v>
      </c>
      <c r="E140" s="77">
        <v>1411.4365387156352</v>
      </c>
      <c r="F140" s="77">
        <v>1559.6373752807767</v>
      </c>
      <c r="G140" s="77">
        <v>1690.6469148043623</v>
      </c>
      <c r="H140" s="77">
        <v>1808.9921988406677</v>
      </c>
      <c r="K140" s="63"/>
      <c r="L140" s="63"/>
      <c r="M140" s="63"/>
      <c r="N140" s="63"/>
      <c r="O140" s="63"/>
      <c r="P140" s="63"/>
      <c r="Q140" s="63"/>
      <c r="R140" s="63"/>
      <c r="S140" s="63"/>
      <c r="W140" s="63"/>
      <c r="Y140" s="76"/>
      <c r="Z140" s="76"/>
      <c r="AA140" s="76"/>
      <c r="AB140" s="76"/>
      <c r="AC140" s="76"/>
      <c r="AD140" s="76"/>
    </row>
    <row r="141" spans="1:30" ht="12.75">
      <c r="A141" s="77">
        <v>7150</v>
      </c>
      <c r="B141" s="75"/>
      <c r="C141" s="77">
        <v>842.1515034189041</v>
      </c>
      <c r="D141" s="77">
        <v>1211.455012384148</v>
      </c>
      <c r="E141" s="77">
        <v>1417.786848973768</v>
      </c>
      <c r="F141" s="77">
        <v>1566.6544681160137</v>
      </c>
      <c r="G141" s="77">
        <v>1698.253443437759</v>
      </c>
      <c r="H141" s="77">
        <v>1817.1311844784022</v>
      </c>
      <c r="K141" s="63"/>
      <c r="L141" s="63"/>
      <c r="M141" s="63"/>
      <c r="N141" s="63"/>
      <c r="O141" s="63"/>
      <c r="P141" s="63"/>
      <c r="Q141" s="63"/>
      <c r="R141" s="63"/>
      <c r="S141" s="63"/>
      <c r="W141" s="63"/>
      <c r="Y141" s="76"/>
      <c r="Z141" s="76"/>
      <c r="AA141" s="76"/>
      <c r="AB141" s="76"/>
      <c r="AC141" s="76"/>
      <c r="AD141" s="76"/>
    </row>
    <row r="142" spans="1:30" ht="12.75">
      <c r="A142" s="77">
        <v>7200</v>
      </c>
      <c r="B142" s="75"/>
      <c r="C142" s="77">
        <v>845.8509519162272</v>
      </c>
      <c r="D142" s="77">
        <v>1216.8208048984425</v>
      </c>
      <c r="E142" s="77">
        <v>1424.1371592319008</v>
      </c>
      <c r="F142" s="77">
        <v>1573.6715609512503</v>
      </c>
      <c r="G142" s="77">
        <v>1705.8599720711554</v>
      </c>
      <c r="H142" s="77">
        <v>1825.2701701161366</v>
      </c>
      <c r="K142" s="63"/>
      <c r="L142" s="63"/>
      <c r="M142" s="63"/>
      <c r="N142" s="63"/>
      <c r="O142" s="63"/>
      <c r="P142" s="63"/>
      <c r="Q142" s="63"/>
      <c r="R142" s="63"/>
      <c r="S142" s="63"/>
      <c r="W142" s="63"/>
      <c r="Y142" s="76"/>
      <c r="Z142" s="76"/>
      <c r="AA142" s="76"/>
      <c r="AB142" s="76"/>
      <c r="AC142" s="76"/>
      <c r="AD142" s="76"/>
    </row>
    <row r="143" spans="1:30" ht="12.75">
      <c r="A143" s="77">
        <v>7250</v>
      </c>
      <c r="B143" s="75"/>
      <c r="C143" s="77">
        <v>849.5504004135506</v>
      </c>
      <c r="D143" s="77">
        <v>1222.1865974127372</v>
      </c>
      <c r="E143" s="77">
        <v>1430.4874694900336</v>
      </c>
      <c r="F143" s="77">
        <v>1580.688653786487</v>
      </c>
      <c r="G143" s="77">
        <v>1713.4665007045521</v>
      </c>
      <c r="H143" s="77">
        <v>1833.409155753871</v>
      </c>
      <c r="K143" s="63"/>
      <c r="L143" s="63"/>
      <c r="M143" s="63"/>
      <c r="N143" s="63"/>
      <c r="O143" s="63"/>
      <c r="P143" s="63"/>
      <c r="Q143" s="63"/>
      <c r="R143" s="63"/>
      <c r="S143" s="63"/>
      <c r="W143" s="63"/>
      <c r="Y143" s="76"/>
      <c r="Z143" s="76"/>
      <c r="AA143" s="76"/>
      <c r="AB143" s="76"/>
      <c r="AC143" s="76"/>
      <c r="AD143" s="76"/>
    </row>
    <row r="144" spans="1:30" ht="12.75">
      <c r="A144" s="77">
        <v>7300</v>
      </c>
      <c r="B144" s="75"/>
      <c r="C144" s="77">
        <v>853.2498489108738</v>
      </c>
      <c r="D144" s="77">
        <v>1227.552389927032</v>
      </c>
      <c r="E144" s="77">
        <v>1436.8377797481662</v>
      </c>
      <c r="F144" s="77">
        <v>1587.7057466217236</v>
      </c>
      <c r="G144" s="77">
        <v>1721.0730293379486</v>
      </c>
      <c r="H144" s="77">
        <v>1841.5481413916052</v>
      </c>
      <c r="K144" s="63"/>
      <c r="L144" s="63"/>
      <c r="M144" s="63"/>
      <c r="N144" s="63"/>
      <c r="O144" s="63"/>
      <c r="P144" s="63"/>
      <c r="Q144" s="63"/>
      <c r="R144" s="63"/>
      <c r="S144" s="63"/>
      <c r="W144" s="63"/>
      <c r="Y144" s="76"/>
      <c r="Z144" s="76"/>
      <c r="AA144" s="76"/>
      <c r="AB144" s="76"/>
      <c r="AC144" s="76"/>
      <c r="AD144" s="76"/>
    </row>
    <row r="145" spans="1:30" ht="12.75">
      <c r="A145" s="77">
        <v>7350</v>
      </c>
      <c r="B145" s="75"/>
      <c r="C145" s="77">
        <v>856.949297408197</v>
      </c>
      <c r="D145" s="77">
        <v>1232.9181824413265</v>
      </c>
      <c r="E145" s="77">
        <v>1443.1880900062988</v>
      </c>
      <c r="F145" s="77">
        <v>1594.7228394569602</v>
      </c>
      <c r="G145" s="77">
        <v>1728.679557971345</v>
      </c>
      <c r="H145" s="77">
        <v>1849.6871270293393</v>
      </c>
      <c r="K145" s="63"/>
      <c r="L145" s="63"/>
      <c r="M145" s="63"/>
      <c r="N145" s="63"/>
      <c r="O145" s="63"/>
      <c r="P145" s="63"/>
      <c r="Q145" s="63"/>
      <c r="R145" s="63"/>
      <c r="S145" s="63"/>
      <c r="W145" s="63"/>
      <c r="Y145" s="76"/>
      <c r="Z145" s="76"/>
      <c r="AA145" s="76"/>
      <c r="AB145" s="76"/>
      <c r="AC145" s="76"/>
      <c r="AD145" s="76"/>
    </row>
    <row r="146" spans="1:30" ht="12.75">
      <c r="A146" s="77">
        <v>7400</v>
      </c>
      <c r="B146" s="75"/>
      <c r="C146" s="77">
        <v>860.6487459055203</v>
      </c>
      <c r="D146" s="77">
        <v>1238.2839749556213</v>
      </c>
      <c r="E146" s="77">
        <v>1449.5384002644319</v>
      </c>
      <c r="F146" s="77">
        <v>1601.739932292197</v>
      </c>
      <c r="G146" s="77">
        <v>1736.2860866047417</v>
      </c>
      <c r="H146" s="77">
        <v>1857.8261126670739</v>
      </c>
      <c r="K146" s="63"/>
      <c r="L146" s="63"/>
      <c r="M146" s="63"/>
      <c r="N146" s="63"/>
      <c r="O146" s="63"/>
      <c r="P146" s="63"/>
      <c r="Q146" s="63"/>
      <c r="R146" s="63"/>
      <c r="S146" s="63"/>
      <c r="W146" s="63"/>
      <c r="Y146" s="76"/>
      <c r="Z146" s="76"/>
      <c r="AA146" s="76"/>
      <c r="AB146" s="76"/>
      <c r="AC146" s="76"/>
      <c r="AD146" s="76"/>
    </row>
    <row r="147" spans="1:30" ht="12.75">
      <c r="A147" s="77">
        <v>7450</v>
      </c>
      <c r="B147" s="75"/>
      <c r="C147" s="77">
        <v>864.3481944028434</v>
      </c>
      <c r="D147" s="77">
        <v>1243.6497674699158</v>
      </c>
      <c r="E147" s="77">
        <v>1455.8887105225645</v>
      </c>
      <c r="F147" s="77">
        <v>1608.7570251274335</v>
      </c>
      <c r="G147" s="77">
        <v>1743.8926152381382</v>
      </c>
      <c r="H147" s="77">
        <v>1865.9650983048082</v>
      </c>
      <c r="K147" s="63"/>
      <c r="L147" s="63"/>
      <c r="M147" s="63"/>
      <c r="N147" s="63"/>
      <c r="O147" s="63"/>
      <c r="P147" s="63"/>
      <c r="Q147" s="63"/>
      <c r="R147" s="63"/>
      <c r="S147" s="63"/>
      <c r="W147" s="63"/>
      <c r="Y147" s="76"/>
      <c r="Z147" s="76"/>
      <c r="AA147" s="76"/>
      <c r="AB147" s="76"/>
      <c r="AC147" s="76"/>
      <c r="AD147" s="76"/>
    </row>
    <row r="148" spans="1:30" ht="12.75">
      <c r="A148" s="77">
        <v>7500</v>
      </c>
      <c r="B148" s="75"/>
      <c r="C148" s="77">
        <v>868.0476429001668</v>
      </c>
      <c r="D148" s="77">
        <v>1249.0155599842105</v>
      </c>
      <c r="E148" s="77">
        <v>1462.2390207806973</v>
      </c>
      <c r="F148" s="77">
        <v>1615.7741179626705</v>
      </c>
      <c r="G148" s="77">
        <v>1751.4991438715351</v>
      </c>
      <c r="H148" s="77">
        <v>1874.1040839425425</v>
      </c>
      <c r="K148" s="63"/>
      <c r="L148" s="63"/>
      <c r="M148" s="63"/>
      <c r="N148" s="63"/>
      <c r="O148" s="63"/>
      <c r="P148" s="63"/>
      <c r="Q148" s="63"/>
      <c r="R148" s="63"/>
      <c r="S148" s="63"/>
      <c r="W148" s="63"/>
      <c r="Y148" s="76"/>
      <c r="Z148" s="76"/>
      <c r="AA148" s="76"/>
      <c r="AB148" s="76"/>
      <c r="AC148" s="76"/>
      <c r="AD148" s="76"/>
    </row>
    <row r="149" spans="1:30" ht="12.75">
      <c r="A149" s="77">
        <v>7550</v>
      </c>
      <c r="B149" s="75"/>
      <c r="C149" s="77">
        <v>871.74709139749</v>
      </c>
      <c r="D149" s="77">
        <v>1254.381352498505</v>
      </c>
      <c r="E149" s="77">
        <v>1468.5893310388299</v>
      </c>
      <c r="F149" s="77">
        <v>1622.791210797907</v>
      </c>
      <c r="G149" s="77">
        <v>1759.1056725049316</v>
      </c>
      <c r="H149" s="77">
        <v>1882.2430695802768</v>
      </c>
      <c r="K149" s="63"/>
      <c r="L149" s="63"/>
      <c r="M149" s="63"/>
      <c r="N149" s="63"/>
      <c r="O149" s="63"/>
      <c r="P149" s="63"/>
      <c r="Q149" s="63"/>
      <c r="R149" s="63"/>
      <c r="S149" s="63"/>
      <c r="W149" s="63"/>
      <c r="Y149" s="76"/>
      <c r="Z149" s="76"/>
      <c r="AA149" s="76"/>
      <c r="AB149" s="76"/>
      <c r="AC149" s="76"/>
      <c r="AD149" s="76"/>
    </row>
    <row r="150" spans="1:30" ht="12.75">
      <c r="A150" s="77">
        <v>7600</v>
      </c>
      <c r="B150" s="75"/>
      <c r="C150" s="77">
        <v>875.4465398948132</v>
      </c>
      <c r="D150" s="77">
        <v>1259.7471450127996</v>
      </c>
      <c r="E150" s="77">
        <v>1474.9396412969627</v>
      </c>
      <c r="F150" s="77">
        <v>1629.8083036331436</v>
      </c>
      <c r="G150" s="77">
        <v>1766.712201138328</v>
      </c>
      <c r="H150" s="77">
        <v>1890.3820552180111</v>
      </c>
      <c r="K150" s="63"/>
      <c r="L150" s="63"/>
      <c r="M150" s="63"/>
      <c r="N150" s="63"/>
      <c r="O150" s="63"/>
      <c r="P150" s="63"/>
      <c r="Q150" s="63"/>
      <c r="R150" s="63"/>
      <c r="S150" s="63"/>
      <c r="W150" s="63"/>
      <c r="Y150" s="76"/>
      <c r="Z150" s="76"/>
      <c r="AA150" s="76"/>
      <c r="AB150" s="76"/>
      <c r="AC150" s="76"/>
      <c r="AD150" s="76"/>
    </row>
    <row r="151" spans="1:30" ht="12.75">
      <c r="A151" s="77">
        <v>7650</v>
      </c>
      <c r="B151" s="75"/>
      <c r="C151" s="77">
        <v>879.1459883921365</v>
      </c>
      <c r="D151" s="77">
        <v>1265.1129375270943</v>
      </c>
      <c r="E151" s="77">
        <v>1481.2899515550955</v>
      </c>
      <c r="F151" s="77">
        <v>1636.8253964683804</v>
      </c>
      <c r="G151" s="77">
        <v>1774.3187297717247</v>
      </c>
      <c r="H151" s="77">
        <v>1898.5210408557455</v>
      </c>
      <c r="K151" s="63"/>
      <c r="L151" s="63"/>
      <c r="M151" s="63"/>
      <c r="N151" s="63"/>
      <c r="O151" s="63"/>
      <c r="P151" s="63"/>
      <c r="Q151" s="63"/>
      <c r="R151" s="63"/>
      <c r="S151" s="63"/>
      <c r="W151" s="63"/>
      <c r="Y151" s="76"/>
      <c r="Z151" s="76"/>
      <c r="AA151" s="76"/>
      <c r="AB151" s="76"/>
      <c r="AC151" s="76"/>
      <c r="AD151" s="76"/>
    </row>
    <row r="152" spans="1:30" ht="12.75">
      <c r="A152" s="77">
        <v>7700</v>
      </c>
      <c r="B152" s="75"/>
      <c r="C152" s="77">
        <v>882.8454368894597</v>
      </c>
      <c r="D152" s="77">
        <v>1270.4787300413889</v>
      </c>
      <c r="E152" s="77">
        <v>1487.640261813228</v>
      </c>
      <c r="F152" s="77">
        <v>1643.842489303617</v>
      </c>
      <c r="G152" s="77">
        <v>1781.9252584051212</v>
      </c>
      <c r="H152" s="77">
        <v>1906.6600264934798</v>
      </c>
      <c r="K152" s="63"/>
      <c r="L152" s="63"/>
      <c r="M152" s="63"/>
      <c r="N152" s="63"/>
      <c r="O152" s="63"/>
      <c r="P152" s="63"/>
      <c r="Q152" s="63"/>
      <c r="R152" s="63"/>
      <c r="S152" s="63"/>
      <c r="W152" s="63"/>
      <c r="Y152" s="76"/>
      <c r="Z152" s="76"/>
      <c r="AA152" s="76"/>
      <c r="AB152" s="76"/>
      <c r="AC152" s="76"/>
      <c r="AD152" s="76"/>
    </row>
    <row r="153" spans="1:30" ht="12.75">
      <c r="A153" s="77">
        <v>7750</v>
      </c>
      <c r="B153" s="75"/>
      <c r="C153" s="77">
        <v>886.544885386783</v>
      </c>
      <c r="D153" s="77">
        <v>1275.8445225556836</v>
      </c>
      <c r="E153" s="77">
        <v>1493.990572071361</v>
      </c>
      <c r="F153" s="77">
        <v>1650.8595821388537</v>
      </c>
      <c r="G153" s="77">
        <v>1789.531787038518</v>
      </c>
      <c r="H153" s="77">
        <v>1914.7990121312143</v>
      </c>
      <c r="K153" s="63"/>
      <c r="L153" s="63"/>
      <c r="M153" s="63"/>
      <c r="N153" s="63"/>
      <c r="O153" s="63"/>
      <c r="P153" s="63"/>
      <c r="Q153" s="63"/>
      <c r="R153" s="63"/>
      <c r="S153" s="63"/>
      <c r="W153" s="63"/>
      <c r="Y153" s="76"/>
      <c r="Z153" s="76"/>
      <c r="AA153" s="76"/>
      <c r="AB153" s="76"/>
      <c r="AC153" s="76"/>
      <c r="AD153" s="76"/>
    </row>
    <row r="154" spans="1:30" ht="12.75">
      <c r="A154" s="77">
        <v>7800</v>
      </c>
      <c r="B154" s="75"/>
      <c r="C154" s="77">
        <v>890.2443338841061</v>
      </c>
      <c r="D154" s="77">
        <v>1281.2103150699782</v>
      </c>
      <c r="E154" s="77">
        <v>1500.3408823294935</v>
      </c>
      <c r="F154" s="77">
        <v>1657.8766749740905</v>
      </c>
      <c r="G154" s="77">
        <v>1797.1383156719144</v>
      </c>
      <c r="H154" s="77">
        <v>1922.9379977689484</v>
      </c>
      <c r="K154" s="63"/>
      <c r="L154" s="63"/>
      <c r="M154" s="63"/>
      <c r="N154" s="63"/>
      <c r="O154" s="63"/>
      <c r="P154" s="63"/>
      <c r="Q154" s="63"/>
      <c r="R154" s="63"/>
      <c r="S154" s="63"/>
      <c r="W154" s="63"/>
      <c r="Y154" s="76"/>
      <c r="Z154" s="76"/>
      <c r="AA154" s="76"/>
      <c r="AB154" s="76"/>
      <c r="AC154" s="76"/>
      <c r="AD154" s="76"/>
    </row>
    <row r="155" spans="1:30" ht="12.75">
      <c r="A155" s="77">
        <v>7850</v>
      </c>
      <c r="B155" s="75"/>
      <c r="C155" s="77">
        <v>893.9437823814294</v>
      </c>
      <c r="D155" s="77">
        <v>1286.5761075842727</v>
      </c>
      <c r="E155" s="77">
        <v>1506.6911925876263</v>
      </c>
      <c r="F155" s="77">
        <v>1664.893767809327</v>
      </c>
      <c r="G155" s="77">
        <v>1804.7448443053108</v>
      </c>
      <c r="H155" s="77">
        <v>1931.0769834066828</v>
      </c>
      <c r="K155" s="63"/>
      <c r="L155" s="63"/>
      <c r="M155" s="63"/>
      <c r="N155" s="63"/>
      <c r="O155" s="63"/>
      <c r="P155" s="63"/>
      <c r="Q155" s="63"/>
      <c r="R155" s="63"/>
      <c r="S155" s="63"/>
      <c r="W155" s="63"/>
      <c r="Y155" s="76"/>
      <c r="Z155" s="76"/>
      <c r="AA155" s="76"/>
      <c r="AB155" s="76"/>
      <c r="AC155" s="76"/>
      <c r="AD155" s="76"/>
    </row>
    <row r="156" spans="1:30" ht="12.75">
      <c r="A156" s="77">
        <v>7900</v>
      </c>
      <c r="B156" s="75"/>
      <c r="C156" s="77">
        <v>897.6432308787527</v>
      </c>
      <c r="D156" s="77">
        <v>1291.9419000985674</v>
      </c>
      <c r="E156" s="77">
        <v>1513.0415028457592</v>
      </c>
      <c r="F156" s="77">
        <v>1671.9108606445639</v>
      </c>
      <c r="G156" s="77">
        <v>1812.3513729387075</v>
      </c>
      <c r="H156" s="77">
        <v>1939.2159690444173</v>
      </c>
      <c r="K156" s="63"/>
      <c r="L156" s="63"/>
      <c r="M156" s="63"/>
      <c r="N156" s="63"/>
      <c r="O156" s="63"/>
      <c r="P156" s="63"/>
      <c r="Q156" s="63"/>
      <c r="R156" s="63"/>
      <c r="S156" s="63"/>
      <c r="W156" s="63"/>
      <c r="Y156" s="76"/>
      <c r="Z156" s="76"/>
      <c r="AA156" s="76"/>
      <c r="AB156" s="76"/>
      <c r="AC156" s="76"/>
      <c r="AD156" s="76"/>
    </row>
    <row r="157" spans="1:30" ht="12.75">
      <c r="A157" s="77">
        <v>7950</v>
      </c>
      <c r="B157" s="75"/>
      <c r="C157" s="77">
        <v>901.3426793760759</v>
      </c>
      <c r="D157" s="77">
        <v>1297.307692612862</v>
      </c>
      <c r="E157" s="77">
        <v>1519.3918131038918</v>
      </c>
      <c r="F157" s="77">
        <v>1678.9279534798004</v>
      </c>
      <c r="G157" s="77">
        <v>1819.957901572104</v>
      </c>
      <c r="H157" s="77">
        <v>1947.3549546821514</v>
      </c>
      <c r="K157" s="63"/>
      <c r="L157" s="63"/>
      <c r="M157" s="63"/>
      <c r="N157" s="63"/>
      <c r="O157" s="63"/>
      <c r="P157" s="63"/>
      <c r="Q157" s="63"/>
      <c r="R157" s="63"/>
      <c r="S157" s="63"/>
      <c r="W157" s="63"/>
      <c r="Y157" s="76"/>
      <c r="Z157" s="76"/>
      <c r="AA157" s="76"/>
      <c r="AB157" s="76"/>
      <c r="AC157" s="76"/>
      <c r="AD157" s="76"/>
    </row>
    <row r="158" spans="1:30" ht="12.75">
      <c r="A158" s="77">
        <v>8000</v>
      </c>
      <c r="B158" s="75"/>
      <c r="C158" s="77">
        <v>905.0421278733992</v>
      </c>
      <c r="D158" s="77">
        <v>1302.6734851271567</v>
      </c>
      <c r="E158" s="77">
        <v>1525.7421233620246</v>
      </c>
      <c r="F158" s="77">
        <v>1685.9450463150372</v>
      </c>
      <c r="G158" s="77">
        <v>1827.5644302055007</v>
      </c>
      <c r="H158" s="77">
        <v>1955.493940319886</v>
      </c>
      <c r="K158" s="63"/>
      <c r="L158" s="63"/>
      <c r="M158" s="63"/>
      <c r="N158" s="63"/>
      <c r="O158" s="63"/>
      <c r="P158" s="63"/>
      <c r="Q158" s="63"/>
      <c r="R158" s="63"/>
      <c r="S158" s="63"/>
      <c r="W158" s="63"/>
      <c r="Y158" s="76"/>
      <c r="Z158" s="76"/>
      <c r="AA158" s="76"/>
      <c r="AB158" s="76"/>
      <c r="AC158" s="76"/>
      <c r="AD158" s="76"/>
    </row>
    <row r="159" spans="1:30" ht="12.75">
      <c r="A159" s="77">
        <v>8050</v>
      </c>
      <c r="B159" s="75"/>
      <c r="C159" s="77">
        <v>908.7415763707224</v>
      </c>
      <c r="D159" s="77">
        <v>1308.0392776414512</v>
      </c>
      <c r="E159" s="77">
        <v>1532.0924336201572</v>
      </c>
      <c r="F159" s="77">
        <v>1692.9621391502737</v>
      </c>
      <c r="G159" s="77">
        <v>1835.1709588388971</v>
      </c>
      <c r="H159" s="77">
        <v>1963.63292595762</v>
      </c>
      <c r="K159" s="63"/>
      <c r="L159" s="63"/>
      <c r="M159" s="63"/>
      <c r="N159" s="63"/>
      <c r="O159" s="63"/>
      <c r="P159" s="63"/>
      <c r="Q159" s="63"/>
      <c r="R159" s="63"/>
      <c r="S159" s="63"/>
      <c r="W159" s="63"/>
      <c r="Y159" s="76"/>
      <c r="Z159" s="76"/>
      <c r="AA159" s="76"/>
      <c r="AB159" s="76"/>
      <c r="AC159" s="76"/>
      <c r="AD159" s="76"/>
    </row>
    <row r="160" spans="1:30" ht="12.75">
      <c r="A160" s="77">
        <v>8100</v>
      </c>
      <c r="B160" s="75"/>
      <c r="C160" s="77">
        <v>912.4410248680456</v>
      </c>
      <c r="D160" s="77">
        <v>1313.405070155746</v>
      </c>
      <c r="E160" s="77">
        <v>1538.44274387829</v>
      </c>
      <c r="F160" s="77">
        <v>1699.9792319855105</v>
      </c>
      <c r="G160" s="77">
        <v>1842.7774874722936</v>
      </c>
      <c r="H160" s="77">
        <v>1971.7719115953544</v>
      </c>
      <c r="K160" s="63"/>
      <c r="L160" s="63"/>
      <c r="M160" s="63"/>
      <c r="N160" s="63"/>
      <c r="O160" s="63"/>
      <c r="P160" s="63"/>
      <c r="Q160" s="63"/>
      <c r="R160" s="63"/>
      <c r="S160" s="63"/>
      <c r="W160" s="63"/>
      <c r="Y160" s="76"/>
      <c r="Z160" s="76"/>
      <c r="AA160" s="76"/>
      <c r="AB160" s="76"/>
      <c r="AC160" s="76"/>
      <c r="AD160" s="76"/>
    </row>
    <row r="161" spans="1:30" ht="12.75">
      <c r="A161" s="77">
        <v>8150</v>
      </c>
      <c r="B161" s="75"/>
      <c r="C161" s="77">
        <v>916.1404733653688</v>
      </c>
      <c r="D161" s="77">
        <v>1318.7708626700405</v>
      </c>
      <c r="E161" s="77">
        <v>1544.7930541364228</v>
      </c>
      <c r="F161" s="77">
        <v>1706.9963248207473</v>
      </c>
      <c r="G161" s="77">
        <v>1850.3840161056903</v>
      </c>
      <c r="H161" s="77">
        <v>1979.910897233089</v>
      </c>
      <c r="K161" s="63"/>
      <c r="L161" s="63"/>
      <c r="M161" s="63"/>
      <c r="N161" s="63"/>
      <c r="O161" s="63"/>
      <c r="P161" s="63"/>
      <c r="Q161" s="63"/>
      <c r="R161" s="63"/>
      <c r="S161" s="63"/>
      <c r="W161" s="63"/>
      <c r="Y161" s="76"/>
      <c r="Z161" s="76"/>
      <c r="AA161" s="76"/>
      <c r="AB161" s="76"/>
      <c r="AC161" s="76"/>
      <c r="AD161" s="76"/>
    </row>
    <row r="162" spans="1:30" ht="12.75">
      <c r="A162" s="77">
        <v>8200</v>
      </c>
      <c r="B162" s="75"/>
      <c r="C162" s="77">
        <v>919.8399218626921</v>
      </c>
      <c r="D162" s="77">
        <v>1324.1366551843353</v>
      </c>
      <c r="E162" s="77">
        <v>1551.1433643945554</v>
      </c>
      <c r="F162" s="77">
        <v>1714.0134176559839</v>
      </c>
      <c r="G162" s="77">
        <v>1857.9905447390868</v>
      </c>
      <c r="H162" s="77">
        <v>1988.049882870823</v>
      </c>
      <c r="K162" s="63"/>
      <c r="L162" s="63"/>
      <c r="M162" s="63"/>
      <c r="N162" s="63"/>
      <c r="O162" s="63"/>
      <c r="P162" s="63"/>
      <c r="Q162" s="63"/>
      <c r="R162" s="63"/>
      <c r="S162" s="63"/>
      <c r="W162" s="63"/>
      <c r="Y162" s="76"/>
      <c r="Z162" s="76"/>
      <c r="AA162" s="76"/>
      <c r="AB162" s="76"/>
      <c r="AC162" s="76"/>
      <c r="AD162" s="76"/>
    </row>
    <row r="163" spans="1:30" ht="12.75">
      <c r="A163" s="77">
        <v>8250</v>
      </c>
      <c r="B163" s="75"/>
      <c r="C163" s="77">
        <v>923.5393703600154</v>
      </c>
      <c r="D163" s="77">
        <v>1329.50244769863</v>
      </c>
      <c r="E163" s="77">
        <v>1557.4936746526882</v>
      </c>
      <c r="F163" s="77">
        <v>1721.0305104912206</v>
      </c>
      <c r="G163" s="77">
        <v>1865.5970733724835</v>
      </c>
      <c r="H163" s="77">
        <v>1996.1888685085576</v>
      </c>
      <c r="K163" s="63"/>
      <c r="L163" s="63"/>
      <c r="M163" s="63"/>
      <c r="N163" s="63"/>
      <c r="O163" s="63"/>
      <c r="P163" s="63"/>
      <c r="Q163" s="63"/>
      <c r="R163" s="63"/>
      <c r="S163" s="63"/>
      <c r="W163" s="63"/>
      <c r="Y163" s="76"/>
      <c r="Z163" s="76"/>
      <c r="AA163" s="76"/>
      <c r="AB163" s="76"/>
      <c r="AC163" s="76"/>
      <c r="AD163" s="76"/>
    </row>
    <row r="164" spans="1:30" ht="12.75">
      <c r="A164" s="77">
        <v>8300</v>
      </c>
      <c r="B164" s="75"/>
      <c r="C164" s="77">
        <v>927.2388188573386</v>
      </c>
      <c r="D164" s="77">
        <v>1334.8682402129245</v>
      </c>
      <c r="E164" s="77">
        <v>1563.8439849108208</v>
      </c>
      <c r="F164" s="77">
        <v>1728.0476033264572</v>
      </c>
      <c r="G164" s="77">
        <v>1873.20360200588</v>
      </c>
      <c r="H164" s="77">
        <v>2004.3278541462919</v>
      </c>
      <c r="K164" s="63"/>
      <c r="L164" s="63"/>
      <c r="M164" s="63"/>
      <c r="N164" s="63"/>
      <c r="O164" s="63"/>
      <c r="P164" s="63"/>
      <c r="Q164" s="63"/>
      <c r="R164" s="63"/>
      <c r="S164" s="63"/>
      <c r="W164" s="63"/>
      <c r="Y164" s="76"/>
      <c r="Z164" s="76"/>
      <c r="AA164" s="76"/>
      <c r="AB164" s="76"/>
      <c r="AC164" s="76"/>
      <c r="AD164" s="76"/>
    </row>
    <row r="165" spans="1:30" ht="12.75">
      <c r="A165" s="77">
        <v>8350</v>
      </c>
      <c r="B165" s="75"/>
      <c r="C165" s="77">
        <v>930.9382673546618</v>
      </c>
      <c r="D165" s="77">
        <v>1340.234032727219</v>
      </c>
      <c r="E165" s="77">
        <v>1570.1942951689537</v>
      </c>
      <c r="F165" s="77">
        <v>1735.0646961616937</v>
      </c>
      <c r="G165" s="77">
        <v>1880.8101306392764</v>
      </c>
      <c r="H165" s="77">
        <v>2012.466839784026</v>
      </c>
      <c r="K165" s="63"/>
      <c r="L165" s="63"/>
      <c r="M165" s="63"/>
      <c r="N165" s="63"/>
      <c r="O165" s="63"/>
      <c r="P165" s="63"/>
      <c r="Q165" s="63"/>
      <c r="R165" s="63"/>
      <c r="S165" s="63"/>
      <c r="W165" s="63"/>
      <c r="Y165" s="76"/>
      <c r="Z165" s="76"/>
      <c r="AA165" s="76"/>
      <c r="AB165" s="76"/>
      <c r="AC165" s="76"/>
      <c r="AD165" s="76"/>
    </row>
    <row r="166" spans="1:30" ht="12.75">
      <c r="A166" s="77">
        <v>8400</v>
      </c>
      <c r="B166" s="75"/>
      <c r="C166" s="77">
        <v>934.6377158519851</v>
      </c>
      <c r="D166" s="77">
        <v>1345.5998252415138</v>
      </c>
      <c r="E166" s="77">
        <v>1576.5446054270865</v>
      </c>
      <c r="F166" s="77">
        <v>1742.0817889969305</v>
      </c>
      <c r="G166" s="77">
        <v>1888.4166592726733</v>
      </c>
      <c r="H166" s="77">
        <v>2020.6058254217605</v>
      </c>
      <c r="K166" s="63"/>
      <c r="L166" s="63"/>
      <c r="M166" s="63"/>
      <c r="N166" s="63"/>
      <c r="O166" s="63"/>
      <c r="P166" s="63"/>
      <c r="Q166" s="63"/>
      <c r="R166" s="63"/>
      <c r="S166" s="63"/>
      <c r="W166" s="63"/>
      <c r="Y166" s="76"/>
      <c r="Z166" s="76"/>
      <c r="AA166" s="76"/>
      <c r="AB166" s="76"/>
      <c r="AC166" s="76"/>
      <c r="AD166" s="76"/>
    </row>
    <row r="167" spans="1:30" ht="12.75">
      <c r="A167" s="77">
        <v>8450</v>
      </c>
      <c r="B167" s="75"/>
      <c r="C167" s="77">
        <v>938.3371643493083</v>
      </c>
      <c r="D167" s="77">
        <v>1350.9656177558084</v>
      </c>
      <c r="E167" s="77">
        <v>1582.894915685219</v>
      </c>
      <c r="F167" s="77">
        <v>1749.0988818321673</v>
      </c>
      <c r="G167" s="77">
        <v>1896.0231879060698</v>
      </c>
      <c r="H167" s="77">
        <v>2028.7448110594946</v>
      </c>
      <c r="K167" s="63"/>
      <c r="L167" s="63"/>
      <c r="M167" s="63"/>
      <c r="N167" s="63"/>
      <c r="O167" s="63"/>
      <c r="P167" s="63"/>
      <c r="Q167" s="63"/>
      <c r="R167" s="63"/>
      <c r="S167" s="63"/>
      <c r="W167" s="63"/>
      <c r="Y167" s="76"/>
      <c r="Z167" s="76"/>
      <c r="AA167" s="76"/>
      <c r="AB167" s="76"/>
      <c r="AC167" s="76"/>
      <c r="AD167" s="76"/>
    </row>
    <row r="168" spans="1:30" ht="12.75">
      <c r="A168" s="77">
        <v>8500</v>
      </c>
      <c r="B168" s="75"/>
      <c r="C168" s="77">
        <v>943.4969169347203</v>
      </c>
      <c r="D168" s="77">
        <v>1357.0069921949969</v>
      </c>
      <c r="E168" s="77">
        <v>1590.1439750628003</v>
      </c>
      <c r="F168" s="77">
        <v>1757.1090924443945</v>
      </c>
      <c r="G168" s="77">
        <v>1904.7062562097235</v>
      </c>
      <c r="H168" s="77">
        <v>2038.0356941444043</v>
      </c>
      <c r="K168" s="63"/>
      <c r="L168" s="63"/>
      <c r="M168" s="63"/>
      <c r="N168" s="63"/>
      <c r="O168" s="63"/>
      <c r="P168" s="63"/>
      <c r="Q168" s="63"/>
      <c r="R168" s="63"/>
      <c r="S168" s="63"/>
      <c r="W168" s="63"/>
      <c r="Y168" s="76"/>
      <c r="Z168" s="76"/>
      <c r="AA168" s="76"/>
      <c r="AB168" s="76"/>
      <c r="AC168" s="76"/>
      <c r="AD168" s="76"/>
    </row>
    <row r="169" spans="1:30" ht="12.75">
      <c r="A169" s="77">
        <v>8550</v>
      </c>
      <c r="B169" s="75"/>
      <c r="C169" s="77">
        <v>948.5972856200618</v>
      </c>
      <c r="D169" s="77">
        <v>1363.0208938017495</v>
      </c>
      <c r="E169" s="77">
        <v>1597.3564864170392</v>
      </c>
      <c r="F169" s="77">
        <v>1765.0789174908284</v>
      </c>
      <c r="G169" s="77">
        <v>1913.345546560058</v>
      </c>
      <c r="H169" s="77">
        <v>2047.2797348192623</v>
      </c>
      <c r="K169" s="63"/>
      <c r="L169" s="63"/>
      <c r="M169" s="63"/>
      <c r="N169" s="63"/>
      <c r="O169" s="63"/>
      <c r="P169" s="63"/>
      <c r="Q169" s="63"/>
      <c r="R169" s="63"/>
      <c r="S169" s="63"/>
      <c r="W169" s="63"/>
      <c r="Y169" s="76"/>
      <c r="Z169" s="76"/>
      <c r="AA169" s="76"/>
      <c r="AB169" s="76"/>
      <c r="AC169" s="76"/>
      <c r="AD169" s="76"/>
    </row>
    <row r="170" spans="1:30" ht="12.75">
      <c r="A170" s="77">
        <v>8600</v>
      </c>
      <c r="B170" s="75"/>
      <c r="C170" s="77">
        <v>953.6976543054034</v>
      </c>
      <c r="D170" s="77">
        <v>1369.034795408502</v>
      </c>
      <c r="E170" s="77">
        <v>1604.5689977712782</v>
      </c>
      <c r="F170" s="77">
        <v>1773.0487425372626</v>
      </c>
      <c r="G170" s="77">
        <v>1921.9848369103925</v>
      </c>
      <c r="H170" s="77">
        <v>2056.52377549412</v>
      </c>
      <c r="K170" s="63"/>
      <c r="L170" s="63"/>
      <c r="M170" s="63"/>
      <c r="N170" s="63"/>
      <c r="O170" s="63"/>
      <c r="P170" s="63"/>
      <c r="Q170" s="63"/>
      <c r="R170" s="63"/>
      <c r="S170" s="63"/>
      <c r="W170" s="63"/>
      <c r="Y170" s="76"/>
      <c r="Z170" s="76"/>
      <c r="AA170" s="76"/>
      <c r="AB170" s="76"/>
      <c r="AC170" s="76"/>
      <c r="AD170" s="76"/>
    </row>
    <row r="171" spans="1:30" ht="12.75">
      <c r="A171" s="77">
        <v>8650</v>
      </c>
      <c r="B171" s="75"/>
      <c r="C171" s="77">
        <v>958.798022990745</v>
      </c>
      <c r="D171" s="77">
        <v>1375.048697015255</v>
      </c>
      <c r="E171" s="77">
        <v>1611.7815091255172</v>
      </c>
      <c r="F171" s="77">
        <v>1781.0185675836967</v>
      </c>
      <c r="G171" s="77">
        <v>1930.6241272607272</v>
      </c>
      <c r="H171" s="77">
        <v>2065.7678161689782</v>
      </c>
      <c r="K171" s="63"/>
      <c r="L171" s="63"/>
      <c r="M171" s="63"/>
      <c r="N171" s="63"/>
      <c r="O171" s="63"/>
      <c r="P171" s="63"/>
      <c r="Q171" s="63"/>
      <c r="R171" s="63"/>
      <c r="S171" s="63"/>
      <c r="W171" s="63"/>
      <c r="Y171" s="76"/>
      <c r="Z171" s="76"/>
      <c r="AA171" s="76"/>
      <c r="AB171" s="76"/>
      <c r="AC171" s="76"/>
      <c r="AD171" s="76"/>
    </row>
    <row r="172" spans="1:30" ht="12.75">
      <c r="A172" s="77">
        <v>8700</v>
      </c>
      <c r="B172" s="75"/>
      <c r="C172" s="77">
        <v>963.8983916760866</v>
      </c>
      <c r="D172" s="77">
        <v>1381.0625986220075</v>
      </c>
      <c r="E172" s="77">
        <v>1618.9940204797563</v>
      </c>
      <c r="F172" s="77">
        <v>1788.9883926301309</v>
      </c>
      <c r="G172" s="77">
        <v>1939.2634176110619</v>
      </c>
      <c r="H172" s="77">
        <v>2075.011856843836</v>
      </c>
      <c r="K172" s="63"/>
      <c r="L172" s="63"/>
      <c r="M172" s="63"/>
      <c r="N172" s="63"/>
      <c r="O172" s="63"/>
      <c r="P172" s="63"/>
      <c r="Q172" s="63"/>
      <c r="R172" s="63"/>
      <c r="S172" s="63"/>
      <c r="W172" s="63"/>
      <c r="Y172" s="76"/>
      <c r="Z172" s="76"/>
      <c r="AA172" s="76"/>
      <c r="AB172" s="76"/>
      <c r="AC172" s="76"/>
      <c r="AD172" s="76"/>
    </row>
    <row r="173" spans="1:30" ht="12.75">
      <c r="A173" s="77">
        <v>8750</v>
      </c>
      <c r="B173" s="75"/>
      <c r="C173" s="77">
        <v>968.9987603614283</v>
      </c>
      <c r="D173" s="77">
        <v>1387.0765002287603</v>
      </c>
      <c r="E173" s="77">
        <v>1626.2065318339955</v>
      </c>
      <c r="F173" s="77">
        <v>1796.958217676565</v>
      </c>
      <c r="G173" s="77">
        <v>1947.9027079613966</v>
      </c>
      <c r="H173" s="77">
        <v>2084.2558975186944</v>
      </c>
      <c r="K173" s="63"/>
      <c r="L173" s="63"/>
      <c r="M173" s="63"/>
      <c r="N173" s="63"/>
      <c r="O173" s="63"/>
      <c r="P173" s="63"/>
      <c r="Q173" s="63"/>
      <c r="R173" s="63"/>
      <c r="S173" s="63"/>
      <c r="W173" s="63"/>
      <c r="Y173" s="76"/>
      <c r="Z173" s="76"/>
      <c r="AA173" s="76"/>
      <c r="AB173" s="76"/>
      <c r="AC173" s="76"/>
      <c r="AD173" s="76"/>
    </row>
    <row r="174" spans="1:30" ht="12.75">
      <c r="A174" s="77">
        <v>8800</v>
      </c>
      <c r="B174" s="75"/>
      <c r="C174" s="77">
        <v>974.0991290467698</v>
      </c>
      <c r="D174" s="77">
        <v>1393.090401835513</v>
      </c>
      <c r="E174" s="77">
        <v>1633.4190431882344</v>
      </c>
      <c r="F174" s="77">
        <v>1804.9280427229992</v>
      </c>
      <c r="G174" s="77">
        <v>1956.541998311731</v>
      </c>
      <c r="H174" s="77">
        <v>2093.499938193552</v>
      </c>
      <c r="K174" s="63"/>
      <c r="L174" s="63"/>
      <c r="M174" s="63"/>
      <c r="N174" s="63"/>
      <c r="O174" s="63"/>
      <c r="P174" s="63"/>
      <c r="Q174" s="63"/>
      <c r="R174" s="63"/>
      <c r="S174" s="63"/>
      <c r="W174" s="63"/>
      <c r="Y174" s="76"/>
      <c r="Z174" s="76"/>
      <c r="AA174" s="76"/>
      <c r="AB174" s="76"/>
      <c r="AC174" s="76"/>
      <c r="AD174" s="76"/>
    </row>
    <row r="175" spans="1:30" ht="12.75">
      <c r="A175" s="77">
        <v>8850</v>
      </c>
      <c r="B175" s="75"/>
      <c r="C175" s="77">
        <v>979.1994977321112</v>
      </c>
      <c r="D175" s="77">
        <v>1399.1043034422655</v>
      </c>
      <c r="E175" s="77">
        <v>1640.6315545424734</v>
      </c>
      <c r="F175" s="77">
        <v>1812.897867769433</v>
      </c>
      <c r="G175" s="77">
        <v>1965.1812886620655</v>
      </c>
      <c r="H175" s="77">
        <v>2102.74397886841</v>
      </c>
      <c r="K175" s="63"/>
      <c r="L175" s="63"/>
      <c r="M175" s="63"/>
      <c r="N175" s="63"/>
      <c r="O175" s="63"/>
      <c r="P175" s="63"/>
      <c r="Q175" s="63"/>
      <c r="R175" s="63"/>
      <c r="S175" s="63"/>
      <c r="W175" s="63"/>
      <c r="Y175" s="76"/>
      <c r="Z175" s="76"/>
      <c r="AA175" s="76"/>
      <c r="AB175" s="76"/>
      <c r="AC175" s="76"/>
      <c r="AD175" s="76"/>
    </row>
    <row r="176" spans="1:30" ht="12.75">
      <c r="A176" s="77">
        <v>8900</v>
      </c>
      <c r="B176" s="75"/>
      <c r="C176" s="77">
        <v>984.2998664174529</v>
      </c>
      <c r="D176" s="77">
        <v>1405.1182050490183</v>
      </c>
      <c r="E176" s="77">
        <v>1647.8440658967124</v>
      </c>
      <c r="F176" s="77">
        <v>1820.8676928158675</v>
      </c>
      <c r="G176" s="77">
        <v>1973.8205790124002</v>
      </c>
      <c r="H176" s="77">
        <v>2111.9880195432684</v>
      </c>
      <c r="K176" s="63"/>
      <c r="L176" s="63"/>
      <c r="M176" s="63"/>
      <c r="N176" s="63"/>
      <c r="O176" s="63"/>
      <c r="P176" s="63"/>
      <c r="Q176" s="63"/>
      <c r="R176" s="63"/>
      <c r="S176" s="63"/>
      <c r="W176" s="63"/>
      <c r="Y176" s="76"/>
      <c r="Z176" s="76"/>
      <c r="AA176" s="76"/>
      <c r="AB176" s="76"/>
      <c r="AC176" s="76"/>
      <c r="AD176" s="76"/>
    </row>
    <row r="177" spans="1:30" ht="12.75">
      <c r="A177" s="77">
        <v>8950</v>
      </c>
      <c r="B177" s="75"/>
      <c r="C177" s="77">
        <v>989.4002351027945</v>
      </c>
      <c r="D177" s="77">
        <v>1411.132106655771</v>
      </c>
      <c r="E177" s="77">
        <v>1655.0565772509515</v>
      </c>
      <c r="F177" s="77">
        <v>1828.8375178623014</v>
      </c>
      <c r="G177" s="77">
        <v>1982.4598693627347</v>
      </c>
      <c r="H177" s="77">
        <v>2121.232060218126</v>
      </c>
      <c r="K177" s="63"/>
      <c r="L177" s="63"/>
      <c r="M177" s="63"/>
      <c r="N177" s="63"/>
      <c r="O177" s="63"/>
      <c r="P177" s="63"/>
      <c r="Q177" s="63"/>
      <c r="R177" s="63"/>
      <c r="S177" s="63"/>
      <c r="W177" s="63"/>
      <c r="Y177" s="76"/>
      <c r="Z177" s="76"/>
      <c r="AA177" s="76"/>
      <c r="AB177" s="76"/>
      <c r="AC177" s="76"/>
      <c r="AD177" s="76"/>
    </row>
    <row r="178" spans="1:30" ht="12.75">
      <c r="A178" s="77">
        <v>9000</v>
      </c>
      <c r="B178" s="75"/>
      <c r="C178" s="77">
        <v>994.5006037881361</v>
      </c>
      <c r="D178" s="77">
        <v>1417.1460082625238</v>
      </c>
      <c r="E178" s="77">
        <v>1662.2690886051905</v>
      </c>
      <c r="F178" s="77">
        <v>1836.8073429087358</v>
      </c>
      <c r="G178" s="77">
        <v>1991.0991597130694</v>
      </c>
      <c r="H178" s="77">
        <v>2130.4761008929845</v>
      </c>
      <c r="K178" s="63"/>
      <c r="L178" s="63"/>
      <c r="M178" s="63"/>
      <c r="N178" s="63"/>
      <c r="O178" s="63"/>
      <c r="P178" s="63"/>
      <c r="Q178" s="63"/>
      <c r="R178" s="63"/>
      <c r="S178" s="63"/>
      <c r="W178" s="63"/>
      <c r="Y178" s="76"/>
      <c r="Z178" s="76"/>
      <c r="AA178" s="76"/>
      <c r="AB178" s="76"/>
      <c r="AC178" s="76"/>
      <c r="AD178" s="76"/>
    </row>
    <row r="179" spans="1:30" ht="12.75">
      <c r="A179" s="77">
        <v>9050</v>
      </c>
      <c r="B179" s="75"/>
      <c r="C179" s="77">
        <v>999.6009724734777</v>
      </c>
      <c r="D179" s="77">
        <v>1423.1599098692764</v>
      </c>
      <c r="E179" s="77">
        <v>1669.4815999594296</v>
      </c>
      <c r="F179" s="77">
        <v>1844.7771679551697</v>
      </c>
      <c r="G179" s="77">
        <v>1999.738450063404</v>
      </c>
      <c r="H179" s="77">
        <v>2139.7201415678423</v>
      </c>
      <c r="K179" s="63"/>
      <c r="L179" s="63"/>
      <c r="M179" s="63"/>
      <c r="N179" s="63"/>
      <c r="O179" s="63"/>
      <c r="P179" s="63"/>
      <c r="Q179" s="63"/>
      <c r="R179" s="63"/>
      <c r="S179" s="63"/>
      <c r="W179" s="63"/>
      <c r="Y179" s="76"/>
      <c r="Z179" s="76"/>
      <c r="AA179" s="76"/>
      <c r="AB179" s="76"/>
      <c r="AC179" s="76"/>
      <c r="AD179" s="76"/>
    </row>
    <row r="180" spans="1:30" ht="12.75">
      <c r="A180" s="77">
        <v>9100</v>
      </c>
      <c r="B180" s="75"/>
      <c r="C180" s="77">
        <v>1004.7013411588192</v>
      </c>
      <c r="D180" s="77">
        <v>1429.173811476029</v>
      </c>
      <c r="E180" s="77">
        <v>1676.6941113136686</v>
      </c>
      <c r="F180" s="77">
        <v>1852.7469930016036</v>
      </c>
      <c r="G180" s="77">
        <v>2008.3777404137384</v>
      </c>
      <c r="H180" s="77">
        <v>2148.9641822427</v>
      </c>
      <c r="K180" s="63"/>
      <c r="L180" s="63"/>
      <c r="M180" s="63"/>
      <c r="N180" s="63"/>
      <c r="O180" s="63"/>
      <c r="P180" s="63"/>
      <c r="Q180" s="63"/>
      <c r="R180" s="63"/>
      <c r="S180" s="63"/>
      <c r="W180" s="63"/>
      <c r="Y180" s="76"/>
      <c r="Z180" s="76"/>
      <c r="AA180" s="76"/>
      <c r="AB180" s="76"/>
      <c r="AC180" s="76"/>
      <c r="AD180" s="76"/>
    </row>
    <row r="181" spans="1:30" ht="12.75">
      <c r="A181" s="77">
        <v>9150</v>
      </c>
      <c r="B181" s="75"/>
      <c r="C181" s="77">
        <v>1009.8017098441609</v>
      </c>
      <c r="D181" s="77">
        <v>1435.1877130827818</v>
      </c>
      <c r="E181" s="77">
        <v>1683.9066226679076</v>
      </c>
      <c r="F181" s="77">
        <v>1860.716818048038</v>
      </c>
      <c r="G181" s="77">
        <v>2017.017030764073</v>
      </c>
      <c r="H181" s="77">
        <v>2158.2082229175585</v>
      </c>
      <c r="K181" s="63"/>
      <c r="L181" s="63"/>
      <c r="M181" s="63"/>
      <c r="N181" s="63"/>
      <c r="O181" s="63"/>
      <c r="P181" s="63"/>
      <c r="Q181" s="63"/>
      <c r="R181" s="63"/>
      <c r="S181" s="63"/>
      <c r="W181" s="63"/>
      <c r="Y181" s="76"/>
      <c r="Z181" s="76"/>
      <c r="AA181" s="76"/>
      <c r="AB181" s="76"/>
      <c r="AC181" s="76"/>
      <c r="AD181" s="76"/>
    </row>
    <row r="182" spans="1:30" ht="12.75">
      <c r="A182" s="77">
        <v>9200</v>
      </c>
      <c r="B182" s="75"/>
      <c r="C182" s="77">
        <v>1014.9020785295024</v>
      </c>
      <c r="D182" s="77">
        <v>1441.2016146895344</v>
      </c>
      <c r="E182" s="77">
        <v>1691.1191340221467</v>
      </c>
      <c r="F182" s="77">
        <v>1868.686643094472</v>
      </c>
      <c r="G182" s="77">
        <v>2025.6563211144075</v>
      </c>
      <c r="H182" s="77">
        <v>2167.4522635924163</v>
      </c>
      <c r="K182" s="63"/>
      <c r="L182" s="63"/>
      <c r="M182" s="63"/>
      <c r="N182" s="63"/>
      <c r="O182" s="63"/>
      <c r="P182" s="63"/>
      <c r="Q182" s="63"/>
      <c r="R182" s="63"/>
      <c r="S182" s="63"/>
      <c r="W182" s="63"/>
      <c r="Y182" s="76"/>
      <c r="Z182" s="76"/>
      <c r="AA182" s="76"/>
      <c r="AB182" s="76"/>
      <c r="AC182" s="76"/>
      <c r="AD182" s="76"/>
    </row>
    <row r="183" spans="1:30" ht="12.75">
      <c r="A183" s="77">
        <v>9250</v>
      </c>
      <c r="B183" s="75"/>
      <c r="C183" s="77">
        <v>1020.0024472148441</v>
      </c>
      <c r="D183" s="77">
        <v>1447.2155162962872</v>
      </c>
      <c r="E183" s="77">
        <v>1698.3316453763857</v>
      </c>
      <c r="F183" s="77">
        <v>1876.6564681409063</v>
      </c>
      <c r="G183" s="77">
        <v>2034.2956114647425</v>
      </c>
      <c r="H183" s="77">
        <v>2176.6963042672746</v>
      </c>
      <c r="K183" s="63"/>
      <c r="L183" s="63"/>
      <c r="M183" s="63"/>
      <c r="N183" s="63"/>
      <c r="O183" s="63"/>
      <c r="P183" s="63"/>
      <c r="Q183" s="63"/>
      <c r="R183" s="63"/>
      <c r="S183" s="63"/>
      <c r="W183" s="63"/>
      <c r="Y183" s="76"/>
      <c r="Z183" s="76"/>
      <c r="AA183" s="76"/>
      <c r="AB183" s="76"/>
      <c r="AC183" s="76"/>
      <c r="AD183" s="76"/>
    </row>
    <row r="184" spans="1:30" ht="12.75">
      <c r="A184" s="77">
        <v>9300</v>
      </c>
      <c r="B184" s="75"/>
      <c r="C184" s="77">
        <v>1025.1028159001855</v>
      </c>
      <c r="D184" s="77">
        <v>1453.2294179030398</v>
      </c>
      <c r="E184" s="77">
        <v>1705.5441567306248</v>
      </c>
      <c r="F184" s="77">
        <v>1884.6262931873403</v>
      </c>
      <c r="G184" s="77">
        <v>2042.934901815077</v>
      </c>
      <c r="H184" s="77">
        <v>2185.9403449421325</v>
      </c>
      <c r="K184" s="63"/>
      <c r="L184" s="63"/>
      <c r="M184" s="63"/>
      <c r="N184" s="63"/>
      <c r="O184" s="63"/>
      <c r="P184" s="63"/>
      <c r="Q184" s="63"/>
      <c r="R184" s="63"/>
      <c r="S184" s="63"/>
      <c r="W184" s="63"/>
      <c r="Y184" s="76"/>
      <c r="Z184" s="76"/>
      <c r="AA184" s="76"/>
      <c r="AB184" s="76"/>
      <c r="AC184" s="76"/>
      <c r="AD184" s="76"/>
    </row>
    <row r="185" spans="1:30" ht="12.75">
      <c r="A185" s="77">
        <v>9350</v>
      </c>
      <c r="B185" s="75"/>
      <c r="C185" s="77">
        <v>1030.2031845855272</v>
      </c>
      <c r="D185" s="77">
        <v>1459.2433195097924</v>
      </c>
      <c r="E185" s="77">
        <v>1712.7566680848636</v>
      </c>
      <c r="F185" s="77">
        <v>1892.5961182337744</v>
      </c>
      <c r="G185" s="77">
        <v>2051.574192165411</v>
      </c>
      <c r="H185" s="77">
        <v>2195.1843856169903</v>
      </c>
      <c r="K185" s="63"/>
      <c r="L185" s="63"/>
      <c r="M185" s="63"/>
      <c r="N185" s="63"/>
      <c r="O185" s="63"/>
      <c r="P185" s="63"/>
      <c r="Q185" s="63"/>
      <c r="R185" s="63"/>
      <c r="S185" s="63"/>
      <c r="W185" s="63"/>
      <c r="Y185" s="76"/>
      <c r="Z185" s="76"/>
      <c r="AA185" s="76"/>
      <c r="AB185" s="76"/>
      <c r="AC185" s="76"/>
      <c r="AD185" s="76"/>
    </row>
    <row r="186" spans="1:30" ht="12.75">
      <c r="A186" s="77">
        <v>9400</v>
      </c>
      <c r="B186" s="75"/>
      <c r="C186" s="77">
        <v>1035.3035532708689</v>
      </c>
      <c r="D186" s="77">
        <v>1465.2572211165452</v>
      </c>
      <c r="E186" s="77">
        <v>1719.9691794391028</v>
      </c>
      <c r="F186" s="77">
        <v>1900.5659432802086</v>
      </c>
      <c r="G186" s="77">
        <v>2060.213482515746</v>
      </c>
      <c r="H186" s="77">
        <v>2204.4284262918486</v>
      </c>
      <c r="K186" s="63"/>
      <c r="L186" s="63"/>
      <c r="M186" s="63"/>
      <c r="N186" s="63"/>
      <c r="O186" s="63"/>
      <c r="P186" s="63"/>
      <c r="Q186" s="63"/>
      <c r="R186" s="63"/>
      <c r="S186" s="63"/>
      <c r="W186" s="63"/>
      <c r="Y186" s="76"/>
      <c r="Z186" s="76"/>
      <c r="AA186" s="76"/>
      <c r="AB186" s="76"/>
      <c r="AC186" s="76"/>
      <c r="AD186" s="76"/>
    </row>
    <row r="187" spans="1:30" ht="12.75">
      <c r="A187" s="77">
        <v>9450</v>
      </c>
      <c r="B187" s="75"/>
      <c r="C187" s="77">
        <v>1040.4039219562103</v>
      </c>
      <c r="D187" s="77">
        <v>1471.2711227232978</v>
      </c>
      <c r="E187" s="77">
        <v>1727.1816907933417</v>
      </c>
      <c r="F187" s="77">
        <v>1908.5357683266427</v>
      </c>
      <c r="G187" s="77">
        <v>2068.8527728660806</v>
      </c>
      <c r="H187" s="77">
        <v>2213.6724669667065</v>
      </c>
      <c r="K187" s="63"/>
      <c r="L187" s="63"/>
      <c r="M187" s="63"/>
      <c r="N187" s="63"/>
      <c r="O187" s="63"/>
      <c r="P187" s="63"/>
      <c r="Q187" s="63"/>
      <c r="R187" s="63"/>
      <c r="S187" s="63"/>
      <c r="W187" s="63"/>
      <c r="Y187" s="76"/>
      <c r="Z187" s="76"/>
      <c r="AA187" s="76"/>
      <c r="AB187" s="76"/>
      <c r="AC187" s="76"/>
      <c r="AD187" s="76"/>
    </row>
    <row r="188" spans="1:30" ht="12.75">
      <c r="A188" s="77">
        <v>9500</v>
      </c>
      <c r="B188" s="75"/>
      <c r="C188" s="77">
        <v>1045.504290641552</v>
      </c>
      <c r="D188" s="77">
        <v>1477.2850243300506</v>
      </c>
      <c r="E188" s="77">
        <v>1734.394202147581</v>
      </c>
      <c r="F188" s="77">
        <v>1916.5055933730769</v>
      </c>
      <c r="G188" s="77">
        <v>2077.4920632164153</v>
      </c>
      <c r="H188" s="77">
        <v>2222.9165076415647</v>
      </c>
      <c r="K188" s="63"/>
      <c r="L188" s="63"/>
      <c r="M188" s="63"/>
      <c r="N188" s="63"/>
      <c r="O188" s="63"/>
      <c r="P188" s="63"/>
      <c r="Q188" s="63"/>
      <c r="R188" s="63"/>
      <c r="S188" s="63"/>
      <c r="W188" s="63"/>
      <c r="Y188" s="76"/>
      <c r="Z188" s="76"/>
      <c r="AA188" s="76"/>
      <c r="AB188" s="76"/>
      <c r="AC188" s="76"/>
      <c r="AD188" s="76"/>
    </row>
    <row r="189" spans="1:30" ht="12.75">
      <c r="A189" s="77">
        <v>9550</v>
      </c>
      <c r="B189" s="75"/>
      <c r="C189" s="77">
        <v>1050.6046593268936</v>
      </c>
      <c r="D189" s="77">
        <v>1483.2989259368032</v>
      </c>
      <c r="E189" s="77">
        <v>1741.60671350182</v>
      </c>
      <c r="F189" s="77">
        <v>1924.475418419511</v>
      </c>
      <c r="G189" s="77">
        <v>2086.13135356675</v>
      </c>
      <c r="H189" s="77">
        <v>2232.1605483164226</v>
      </c>
      <c r="K189" s="63"/>
      <c r="L189" s="63"/>
      <c r="M189" s="63"/>
      <c r="N189" s="63"/>
      <c r="O189" s="63"/>
      <c r="P189" s="63"/>
      <c r="Q189" s="63"/>
      <c r="R189" s="63"/>
      <c r="S189" s="63"/>
      <c r="W189" s="63"/>
      <c r="Y189" s="76"/>
      <c r="Z189" s="76"/>
      <c r="AA189" s="76"/>
      <c r="AB189" s="76"/>
      <c r="AC189" s="76"/>
      <c r="AD189" s="76"/>
    </row>
    <row r="190" spans="1:30" ht="12.75">
      <c r="A190" s="77">
        <v>9600</v>
      </c>
      <c r="B190" s="75"/>
      <c r="C190" s="77">
        <v>1055.705028012235</v>
      </c>
      <c r="D190" s="77">
        <v>1489.312827543556</v>
      </c>
      <c r="E190" s="77">
        <v>1748.8192248560588</v>
      </c>
      <c r="F190" s="77">
        <v>1932.445243465945</v>
      </c>
      <c r="G190" s="77">
        <v>2094.7706439170843</v>
      </c>
      <c r="H190" s="77">
        <v>2241.4045889912804</v>
      </c>
      <c r="K190" s="63"/>
      <c r="L190" s="63"/>
      <c r="M190" s="63"/>
      <c r="N190" s="63"/>
      <c r="O190" s="63"/>
      <c r="P190" s="63"/>
      <c r="Q190" s="63"/>
      <c r="R190" s="63"/>
      <c r="S190" s="63"/>
      <c r="W190" s="63"/>
      <c r="Y190" s="76"/>
      <c r="Z190" s="76"/>
      <c r="AA190" s="76"/>
      <c r="AB190" s="76"/>
      <c r="AC190" s="76"/>
      <c r="AD190" s="76"/>
    </row>
    <row r="191" spans="1:30" ht="12.75">
      <c r="A191" s="77">
        <v>9650</v>
      </c>
      <c r="B191" s="75"/>
      <c r="C191" s="77">
        <v>1060.8053966975767</v>
      </c>
      <c r="D191" s="77">
        <v>1495.326729150309</v>
      </c>
      <c r="E191" s="77">
        <v>1756.031736210298</v>
      </c>
      <c r="F191" s="77">
        <v>1940.4150685123793</v>
      </c>
      <c r="G191" s="77">
        <v>2103.409934267419</v>
      </c>
      <c r="H191" s="77">
        <v>2250.6486296661387</v>
      </c>
      <c r="K191" s="63"/>
      <c r="L191" s="63"/>
      <c r="M191" s="63"/>
      <c r="N191" s="63"/>
      <c r="O191" s="63"/>
      <c r="P191" s="63"/>
      <c r="Q191" s="63"/>
      <c r="R191" s="63"/>
      <c r="S191" s="63"/>
      <c r="W191" s="63"/>
      <c r="Y191" s="76"/>
      <c r="Z191" s="76"/>
      <c r="AA191" s="76"/>
      <c r="AB191" s="76"/>
      <c r="AC191" s="76"/>
      <c r="AD191" s="76"/>
    </row>
    <row r="192" spans="1:30" ht="12.75">
      <c r="A192" s="77">
        <v>9700</v>
      </c>
      <c r="B192" s="75"/>
      <c r="C192" s="77">
        <v>1065.9057653829184</v>
      </c>
      <c r="D192" s="77">
        <v>1501.3406307570615</v>
      </c>
      <c r="E192" s="77">
        <v>1763.2442475645369</v>
      </c>
      <c r="F192" s="77">
        <v>1948.3848935588132</v>
      </c>
      <c r="G192" s="77">
        <v>2112.0492246177537</v>
      </c>
      <c r="H192" s="77">
        <v>2259.8926703409966</v>
      </c>
      <c r="K192" s="63"/>
      <c r="L192" s="63"/>
      <c r="M192" s="63"/>
      <c r="N192" s="63"/>
      <c r="O192" s="63"/>
      <c r="P192" s="63"/>
      <c r="Q192" s="63"/>
      <c r="R192" s="63"/>
      <c r="S192" s="63"/>
      <c r="W192" s="63"/>
      <c r="Y192" s="76"/>
      <c r="Z192" s="76"/>
      <c r="AA192" s="76"/>
      <c r="AB192" s="76"/>
      <c r="AC192" s="76"/>
      <c r="AD192" s="76"/>
    </row>
    <row r="193" spans="1:30" ht="12.75">
      <c r="A193" s="77">
        <v>9750</v>
      </c>
      <c r="B193" s="75"/>
      <c r="C193" s="77">
        <v>1071.00613406826</v>
      </c>
      <c r="D193" s="77">
        <v>1507.354532363814</v>
      </c>
      <c r="E193" s="77">
        <v>1770.4567589187761</v>
      </c>
      <c r="F193" s="77">
        <v>1956.3547186052476</v>
      </c>
      <c r="G193" s="77">
        <v>2120.6885149680884</v>
      </c>
      <c r="H193" s="77">
        <v>2269.1367110158544</v>
      </c>
      <c r="K193" s="63"/>
      <c r="L193" s="63"/>
      <c r="M193" s="63"/>
      <c r="N193" s="63"/>
      <c r="O193" s="63"/>
      <c r="P193" s="63"/>
      <c r="Q193" s="63"/>
      <c r="R193" s="63"/>
      <c r="S193" s="63"/>
      <c r="W193" s="63"/>
      <c r="Y193" s="76"/>
      <c r="Z193" s="76"/>
      <c r="AA193" s="76"/>
      <c r="AB193" s="76"/>
      <c r="AC193" s="76"/>
      <c r="AD193" s="76"/>
    </row>
    <row r="194" spans="1:30" ht="12.75">
      <c r="A194" s="77">
        <v>9800</v>
      </c>
      <c r="B194" s="75"/>
      <c r="C194" s="77">
        <v>1076.1065027536015</v>
      </c>
      <c r="D194" s="77">
        <v>1513.368433970567</v>
      </c>
      <c r="E194" s="77">
        <v>1777.6692702730152</v>
      </c>
      <c r="F194" s="77">
        <v>1964.3245436516816</v>
      </c>
      <c r="G194" s="77">
        <v>2129.3278053184226</v>
      </c>
      <c r="H194" s="77">
        <v>2278.3807516907127</v>
      </c>
      <c r="K194" s="63"/>
      <c r="L194" s="63"/>
      <c r="M194" s="63"/>
      <c r="N194" s="63"/>
      <c r="O194" s="63"/>
      <c r="P194" s="63"/>
      <c r="Q194" s="63"/>
      <c r="R194" s="63"/>
      <c r="S194" s="63"/>
      <c r="W194" s="63"/>
      <c r="Y194" s="76"/>
      <c r="Z194" s="76"/>
      <c r="AA194" s="76"/>
      <c r="AB194" s="76"/>
      <c r="AC194" s="76"/>
      <c r="AD194" s="76"/>
    </row>
    <row r="195" spans="1:30" ht="12.75">
      <c r="A195" s="77">
        <v>9850</v>
      </c>
      <c r="B195" s="75"/>
      <c r="C195" s="77">
        <v>1081.206871438943</v>
      </c>
      <c r="D195" s="77">
        <v>1519.3823355773195</v>
      </c>
      <c r="E195" s="77">
        <v>1784.881781627254</v>
      </c>
      <c r="F195" s="77">
        <v>1972.2943686981157</v>
      </c>
      <c r="G195" s="77">
        <v>2137.9670956687573</v>
      </c>
      <c r="H195" s="77">
        <v>2287.6247923655706</v>
      </c>
      <c r="K195" s="63"/>
      <c r="L195" s="63"/>
      <c r="M195" s="63"/>
      <c r="N195" s="63"/>
      <c r="O195" s="63"/>
      <c r="P195" s="63"/>
      <c r="Q195" s="63"/>
      <c r="R195" s="63"/>
      <c r="S195" s="63"/>
      <c r="W195" s="63"/>
      <c r="Y195" s="76"/>
      <c r="Z195" s="76"/>
      <c r="AA195" s="76"/>
      <c r="AB195" s="76"/>
      <c r="AC195" s="76"/>
      <c r="AD195" s="76"/>
    </row>
    <row r="196" spans="1:30" ht="12.75">
      <c r="A196" s="77">
        <v>9900</v>
      </c>
      <c r="B196" s="75"/>
      <c r="C196" s="77">
        <v>1086.3072401242848</v>
      </c>
      <c r="D196" s="77">
        <v>1525.3962371840723</v>
      </c>
      <c r="E196" s="77">
        <v>1792.0942929814933</v>
      </c>
      <c r="F196" s="77">
        <v>1980.2641937445499</v>
      </c>
      <c r="G196" s="77">
        <v>2146.606386019092</v>
      </c>
      <c r="H196" s="77">
        <v>2296.8688330404284</v>
      </c>
      <c r="K196" s="63"/>
      <c r="L196" s="63"/>
      <c r="M196" s="63"/>
      <c r="N196" s="63"/>
      <c r="O196" s="63"/>
      <c r="P196" s="63"/>
      <c r="Q196" s="63"/>
      <c r="R196" s="63"/>
      <c r="S196" s="63"/>
      <c r="W196" s="63"/>
      <c r="Y196" s="76"/>
      <c r="Z196" s="76"/>
      <c r="AA196" s="76"/>
      <c r="AB196" s="76"/>
      <c r="AC196" s="76"/>
      <c r="AD196" s="76"/>
    </row>
    <row r="197" spans="1:30" ht="12.75">
      <c r="A197" s="77">
        <v>9950</v>
      </c>
      <c r="B197" s="75"/>
      <c r="C197" s="77">
        <v>1091.4076088096263</v>
      </c>
      <c r="D197" s="77">
        <v>1531.410138790825</v>
      </c>
      <c r="E197" s="77">
        <v>1799.306804335732</v>
      </c>
      <c r="F197" s="77">
        <v>1988.234018790984</v>
      </c>
      <c r="G197" s="77">
        <v>2155.2456763694263</v>
      </c>
      <c r="H197" s="77">
        <v>2306.1128737152867</v>
      </c>
      <c r="K197" s="63"/>
      <c r="L197" s="63"/>
      <c r="M197" s="63"/>
      <c r="N197" s="63"/>
      <c r="O197" s="63"/>
      <c r="P197" s="63"/>
      <c r="Q197" s="63"/>
      <c r="R197" s="63"/>
      <c r="S197" s="63"/>
      <c r="W197" s="63"/>
      <c r="Y197" s="76"/>
      <c r="Z197" s="76"/>
      <c r="AA197" s="76"/>
      <c r="AB197" s="76"/>
      <c r="AC197" s="76"/>
      <c r="AD197" s="76"/>
    </row>
    <row r="198" spans="1:30" ht="12.75">
      <c r="A198" s="77">
        <v>10000</v>
      </c>
      <c r="B198" s="75"/>
      <c r="C198" s="77">
        <v>1096.507977494968</v>
      </c>
      <c r="D198" s="77">
        <v>1537.4240403975778</v>
      </c>
      <c r="E198" s="77">
        <v>1806.5193156899713</v>
      </c>
      <c r="F198" s="77">
        <v>1996.2038438374182</v>
      </c>
      <c r="G198" s="77">
        <v>2163.884966719761</v>
      </c>
      <c r="H198" s="77">
        <v>2315.3569143901445</v>
      </c>
      <c r="K198" s="63"/>
      <c r="L198" s="63"/>
      <c r="M198" s="63"/>
      <c r="N198" s="63"/>
      <c r="O198" s="63"/>
      <c r="P198" s="63"/>
      <c r="Q198" s="63"/>
      <c r="R198" s="63"/>
      <c r="S198" s="63"/>
      <c r="W198" s="63"/>
      <c r="Y198" s="76"/>
      <c r="Z198" s="76"/>
      <c r="AA198" s="76"/>
      <c r="AB198" s="76"/>
      <c r="AC198" s="76"/>
      <c r="AD198" s="76"/>
    </row>
    <row r="199" spans="1:30" ht="12.75">
      <c r="A199" s="77">
        <v>10050</v>
      </c>
      <c r="B199" s="75"/>
      <c r="C199" s="77">
        <v>1101.6083461803094</v>
      </c>
      <c r="D199" s="77">
        <v>1543.4379420043304</v>
      </c>
      <c r="E199" s="77">
        <v>1813.7318270442101</v>
      </c>
      <c r="F199" s="77">
        <v>2004.1736688838523</v>
      </c>
      <c r="G199" s="77">
        <v>2172.5242570700957</v>
      </c>
      <c r="H199" s="77">
        <v>2324.6009550650024</v>
      </c>
      <c r="K199" s="63"/>
      <c r="L199" s="63"/>
      <c r="M199" s="63"/>
      <c r="N199" s="63"/>
      <c r="O199" s="63"/>
      <c r="P199" s="63"/>
      <c r="Q199" s="63"/>
      <c r="R199" s="63"/>
      <c r="S199" s="63"/>
      <c r="W199" s="63"/>
      <c r="Y199" s="76"/>
      <c r="Z199" s="76"/>
      <c r="AA199" s="76"/>
      <c r="AB199" s="76"/>
      <c r="AC199" s="76"/>
      <c r="AD199" s="76"/>
    </row>
    <row r="200" spans="1:30" ht="12.75">
      <c r="A200" s="77">
        <v>10100</v>
      </c>
      <c r="B200" s="75"/>
      <c r="C200" s="77">
        <v>1106.708714865651</v>
      </c>
      <c r="D200" s="77">
        <v>1549.451843611083</v>
      </c>
      <c r="E200" s="77">
        <v>1820.9443383984492</v>
      </c>
      <c r="F200" s="77">
        <v>2012.1434939302862</v>
      </c>
      <c r="G200" s="77">
        <v>2181.1635474204304</v>
      </c>
      <c r="H200" s="77">
        <v>2333.8449957398607</v>
      </c>
      <c r="K200" s="63"/>
      <c r="L200" s="63"/>
      <c r="M200" s="63"/>
      <c r="N200" s="63"/>
      <c r="O200" s="63"/>
      <c r="P200" s="63"/>
      <c r="Q200" s="63"/>
      <c r="R200" s="63"/>
      <c r="S200" s="63"/>
      <c r="W200" s="63"/>
      <c r="Y200" s="76"/>
      <c r="Z200" s="76"/>
      <c r="AA200" s="76"/>
      <c r="AB200" s="76"/>
      <c r="AC200" s="76"/>
      <c r="AD200" s="76"/>
    </row>
    <row r="201" spans="1:30" ht="12.75">
      <c r="A201" s="77">
        <v>10150</v>
      </c>
      <c r="B201" s="75"/>
      <c r="C201" s="77">
        <v>1111.8090835509927</v>
      </c>
      <c r="D201" s="77">
        <v>1555.4657452178358</v>
      </c>
      <c r="E201" s="77">
        <v>1828.1568497526882</v>
      </c>
      <c r="F201" s="77">
        <v>2020.1133189767206</v>
      </c>
      <c r="G201" s="77">
        <v>2189.802837770765</v>
      </c>
      <c r="H201" s="77">
        <v>2343.0890364147185</v>
      </c>
      <c r="K201" s="63"/>
      <c r="L201" s="63"/>
      <c r="M201" s="63"/>
      <c r="N201" s="63"/>
      <c r="O201" s="63"/>
      <c r="P201" s="63"/>
      <c r="Q201" s="63"/>
      <c r="R201" s="63"/>
      <c r="S201" s="63"/>
      <c r="W201" s="63"/>
      <c r="Y201" s="76"/>
      <c r="Z201" s="76"/>
      <c r="AA201" s="76"/>
      <c r="AB201" s="76"/>
      <c r="AC201" s="76"/>
      <c r="AD201" s="76"/>
    </row>
    <row r="202" spans="1:30" ht="12.75">
      <c r="A202" s="77">
        <v>10200</v>
      </c>
      <c r="B202" s="75"/>
      <c r="C202" s="77">
        <v>1116.9094522363341</v>
      </c>
      <c r="D202" s="77">
        <v>1561.4796468245884</v>
      </c>
      <c r="E202" s="77">
        <v>1835.3693611069273</v>
      </c>
      <c r="F202" s="77">
        <v>2028.0831440231545</v>
      </c>
      <c r="G202" s="77">
        <v>2198.4421281210994</v>
      </c>
      <c r="H202" s="77">
        <v>2352.3330770895764</v>
      </c>
      <c r="K202" s="63"/>
      <c r="L202" s="63"/>
      <c r="M202" s="63"/>
      <c r="N202" s="63"/>
      <c r="O202" s="63"/>
      <c r="P202" s="63"/>
      <c r="Q202" s="63"/>
      <c r="R202" s="63"/>
      <c r="S202" s="63"/>
      <c r="W202" s="63"/>
      <c r="Y202" s="76"/>
      <c r="Z202" s="76"/>
      <c r="AA202" s="76"/>
      <c r="AB202" s="76"/>
      <c r="AC202" s="76"/>
      <c r="AD202" s="76"/>
    </row>
    <row r="203" spans="1:30" ht="12.75">
      <c r="A203" s="77">
        <v>10250</v>
      </c>
      <c r="B203" s="75"/>
      <c r="C203" s="77">
        <v>1122.0098209216758</v>
      </c>
      <c r="D203" s="77">
        <v>1567.4935484313412</v>
      </c>
      <c r="E203" s="77">
        <v>1842.5818724611665</v>
      </c>
      <c r="F203" s="77">
        <v>2036.052969069589</v>
      </c>
      <c r="G203" s="77">
        <v>2207.081418471434</v>
      </c>
      <c r="H203" s="77">
        <v>2361.5771177644347</v>
      </c>
      <c r="K203" s="63"/>
      <c r="L203" s="63"/>
      <c r="M203" s="63"/>
      <c r="N203" s="63"/>
      <c r="O203" s="63"/>
      <c r="P203" s="63"/>
      <c r="Q203" s="63"/>
      <c r="R203" s="63"/>
      <c r="S203" s="63"/>
      <c r="W203" s="63"/>
      <c r="Y203" s="76"/>
      <c r="Z203" s="76"/>
      <c r="AA203" s="76"/>
      <c r="AB203" s="76"/>
      <c r="AC203" s="76"/>
      <c r="AD203" s="76"/>
    </row>
    <row r="204" spans="1:30" ht="12.75">
      <c r="A204" s="77">
        <v>10300</v>
      </c>
      <c r="B204" s="75"/>
      <c r="C204" s="77">
        <v>1127.1101896070174</v>
      </c>
      <c r="D204" s="77">
        <v>1573.5074500380938</v>
      </c>
      <c r="E204" s="77">
        <v>1849.7943838154054</v>
      </c>
      <c r="F204" s="77">
        <v>2044.0227941160229</v>
      </c>
      <c r="G204" s="77">
        <v>2215.7207088217688</v>
      </c>
      <c r="H204" s="77">
        <v>2370.8211584392925</v>
      </c>
      <c r="K204" s="63"/>
      <c r="L204" s="63"/>
      <c r="M204" s="63"/>
      <c r="N204" s="63"/>
      <c r="O204" s="63"/>
      <c r="P204" s="63"/>
      <c r="Q204" s="63"/>
      <c r="R204" s="63"/>
      <c r="S204" s="63"/>
      <c r="W204" s="63"/>
      <c r="Y204" s="76"/>
      <c r="Z204" s="76"/>
      <c r="AA204" s="76"/>
      <c r="AB204" s="76"/>
      <c r="AC204" s="76"/>
      <c r="AD204" s="76"/>
    </row>
    <row r="205" spans="1:30" ht="12.75">
      <c r="A205" s="77">
        <v>10350</v>
      </c>
      <c r="B205" s="75"/>
      <c r="C205" s="77">
        <v>1132.2105582923589</v>
      </c>
      <c r="D205" s="77">
        <v>1579.5213516448464</v>
      </c>
      <c r="E205" s="77">
        <v>1857.0068951696444</v>
      </c>
      <c r="F205" s="77">
        <v>2051.992619162457</v>
      </c>
      <c r="G205" s="77">
        <v>2224.359999172103</v>
      </c>
      <c r="H205" s="77">
        <v>2380.0651991141503</v>
      </c>
      <c r="K205" s="63"/>
      <c r="L205" s="63"/>
      <c r="M205" s="63"/>
      <c r="N205" s="63"/>
      <c r="O205" s="63"/>
      <c r="P205" s="63"/>
      <c r="Q205" s="63"/>
      <c r="R205" s="63"/>
      <c r="S205" s="63"/>
      <c r="W205" s="63"/>
      <c r="Y205" s="76"/>
      <c r="Z205" s="76"/>
      <c r="AA205" s="76"/>
      <c r="AB205" s="76"/>
      <c r="AC205" s="76"/>
      <c r="AD205" s="76"/>
    </row>
    <row r="206" spans="1:30" ht="12.75">
      <c r="A206" s="77">
        <v>10400</v>
      </c>
      <c r="B206" s="75"/>
      <c r="C206" s="77">
        <v>1137.3109269777005</v>
      </c>
      <c r="D206" s="77">
        <v>1585.5352532515992</v>
      </c>
      <c r="E206" s="77">
        <v>1864.2194065238834</v>
      </c>
      <c r="F206" s="77">
        <v>2059.962444208891</v>
      </c>
      <c r="G206" s="77">
        <v>2232.9992895224377</v>
      </c>
      <c r="H206" s="77">
        <v>2389.3092397890086</v>
      </c>
      <c r="K206" s="63"/>
      <c r="L206" s="63"/>
      <c r="M206" s="63"/>
      <c r="N206" s="63"/>
      <c r="O206" s="63"/>
      <c r="P206" s="63"/>
      <c r="Q206" s="63"/>
      <c r="R206" s="63"/>
      <c r="S206" s="63"/>
      <c r="W206" s="63"/>
      <c r="Y206" s="76"/>
      <c r="Z206" s="76"/>
      <c r="AA206" s="76"/>
      <c r="AB206" s="76"/>
      <c r="AC206" s="76"/>
      <c r="AD206" s="76"/>
    </row>
    <row r="207" spans="1:30" ht="12.75">
      <c r="A207" s="77">
        <v>10450</v>
      </c>
      <c r="B207" s="75"/>
      <c r="C207" s="77">
        <v>1142.411295663042</v>
      </c>
      <c r="D207" s="77">
        <v>1591.5491548583518</v>
      </c>
      <c r="E207" s="77">
        <v>1871.4319178781225</v>
      </c>
      <c r="F207" s="77">
        <v>2067.932269255325</v>
      </c>
      <c r="G207" s="77">
        <v>2241.6385798727724</v>
      </c>
      <c r="H207" s="77">
        <v>2398.5532804638665</v>
      </c>
      <c r="K207" s="63"/>
      <c r="L207" s="63"/>
      <c r="M207" s="63"/>
      <c r="N207" s="63"/>
      <c r="O207" s="63"/>
      <c r="P207" s="63"/>
      <c r="Q207" s="63"/>
      <c r="R207" s="63"/>
      <c r="S207" s="63"/>
      <c r="W207" s="63"/>
      <c r="Y207" s="76"/>
      <c r="Z207" s="76"/>
      <c r="AA207" s="76"/>
      <c r="AB207" s="76"/>
      <c r="AC207" s="76"/>
      <c r="AD207" s="76"/>
    </row>
    <row r="208" spans="1:30" ht="12.75">
      <c r="A208" s="77">
        <v>10500</v>
      </c>
      <c r="B208" s="75"/>
      <c r="C208" s="77">
        <v>1147.5116643483839</v>
      </c>
      <c r="D208" s="77">
        <v>1597.5630564651046</v>
      </c>
      <c r="E208" s="77">
        <v>1878.6444292323617</v>
      </c>
      <c r="F208" s="77">
        <v>2075.9020943017595</v>
      </c>
      <c r="G208" s="77">
        <v>2250.277870223107</v>
      </c>
      <c r="H208" s="77">
        <v>2407.797321138725</v>
      </c>
      <c r="K208" s="63"/>
      <c r="L208" s="63"/>
      <c r="M208" s="63"/>
      <c r="N208" s="63"/>
      <c r="O208" s="63"/>
      <c r="P208" s="63"/>
      <c r="Q208" s="63"/>
      <c r="R208" s="63"/>
      <c r="S208" s="63"/>
      <c r="W208" s="63"/>
      <c r="Y208" s="76"/>
      <c r="Z208" s="76"/>
      <c r="AA208" s="76"/>
      <c r="AB208" s="76"/>
      <c r="AC208" s="76"/>
      <c r="AD208" s="76"/>
    </row>
    <row r="209" spans="1:30" ht="12.75">
      <c r="A209" s="77">
        <v>10550</v>
      </c>
      <c r="B209" s="75"/>
      <c r="C209" s="77">
        <v>1152.6120330337253</v>
      </c>
      <c r="D209" s="77">
        <v>1603.5769580718572</v>
      </c>
      <c r="E209" s="77">
        <v>1885.8569405866006</v>
      </c>
      <c r="F209" s="77">
        <v>2083.8719193481934</v>
      </c>
      <c r="G209" s="77">
        <v>2258.9171605734414</v>
      </c>
      <c r="H209" s="77">
        <v>2417.0413618135826</v>
      </c>
      <c r="K209" s="63"/>
      <c r="L209" s="63"/>
      <c r="M209" s="63"/>
      <c r="N209" s="63"/>
      <c r="O209" s="63"/>
      <c r="P209" s="63"/>
      <c r="Q209" s="63"/>
      <c r="R209" s="63"/>
      <c r="S209" s="63"/>
      <c r="W209" s="63"/>
      <c r="Y209" s="76"/>
      <c r="Z209" s="76"/>
      <c r="AA209" s="76"/>
      <c r="AB209" s="76"/>
      <c r="AC209" s="76"/>
      <c r="AD209" s="76"/>
    </row>
    <row r="210" spans="1:30" ht="12.75">
      <c r="A210" s="77">
        <v>10600</v>
      </c>
      <c r="B210" s="75"/>
      <c r="C210" s="77">
        <v>1157.7124017190667</v>
      </c>
      <c r="D210" s="77">
        <v>1609.5908596786098</v>
      </c>
      <c r="E210" s="77">
        <v>1893.0694519408396</v>
      </c>
      <c r="F210" s="77">
        <v>2091.8417443946273</v>
      </c>
      <c r="G210" s="77">
        <v>2267.556450923776</v>
      </c>
      <c r="H210" s="77">
        <v>2426.2854024884405</v>
      </c>
      <c r="K210" s="63"/>
      <c r="L210" s="63"/>
      <c r="M210" s="63"/>
      <c r="N210" s="63"/>
      <c r="O210" s="63"/>
      <c r="P210" s="63"/>
      <c r="Q210" s="63"/>
      <c r="R210" s="63"/>
      <c r="S210" s="63"/>
      <c r="W210" s="63"/>
      <c r="Y210" s="76"/>
      <c r="Z210" s="76"/>
      <c r="AA210" s="76"/>
      <c r="AB210" s="76"/>
      <c r="AC210" s="76"/>
      <c r="AD210" s="76"/>
    </row>
    <row r="211" spans="1:30" ht="12.75">
      <c r="A211" s="77">
        <v>10650</v>
      </c>
      <c r="B211" s="75"/>
      <c r="C211" s="77">
        <v>1162.8127704044086</v>
      </c>
      <c r="D211" s="77">
        <v>1615.6047612853627</v>
      </c>
      <c r="E211" s="77">
        <v>1900.2819632950786</v>
      </c>
      <c r="F211" s="77">
        <v>2099.8115694410617</v>
      </c>
      <c r="G211" s="77">
        <v>2276.195741274111</v>
      </c>
      <c r="H211" s="77">
        <v>2435.5294431632988</v>
      </c>
      <c r="K211" s="63"/>
      <c r="L211" s="63"/>
      <c r="M211" s="63"/>
      <c r="N211" s="63"/>
      <c r="O211" s="63"/>
      <c r="P211" s="63"/>
      <c r="Q211" s="63"/>
      <c r="R211" s="63"/>
      <c r="S211" s="63"/>
      <c r="W211" s="63"/>
      <c r="Y211" s="76"/>
      <c r="Z211" s="76"/>
      <c r="AA211" s="76"/>
      <c r="AB211" s="76"/>
      <c r="AC211" s="76"/>
      <c r="AD211" s="76"/>
    </row>
    <row r="212" spans="1:30" ht="12.75">
      <c r="A212" s="77">
        <v>10700</v>
      </c>
      <c r="B212" s="75"/>
      <c r="C212" s="77">
        <v>1167.91313908975</v>
      </c>
      <c r="D212" s="77">
        <v>1621.6186628921153</v>
      </c>
      <c r="E212" s="77">
        <v>1907.4944746493177</v>
      </c>
      <c r="F212" s="77">
        <v>2107.7813944874956</v>
      </c>
      <c r="G212" s="77">
        <v>2284.835031624445</v>
      </c>
      <c r="H212" s="77">
        <v>2444.7734838381566</v>
      </c>
      <c r="K212" s="63"/>
      <c r="L212" s="63"/>
      <c r="M212" s="63"/>
      <c r="N212" s="63"/>
      <c r="O212" s="63"/>
      <c r="P212" s="63"/>
      <c r="Q212" s="63"/>
      <c r="R212" s="63"/>
      <c r="S212" s="63"/>
      <c r="W212" s="63"/>
      <c r="Y212" s="76"/>
      <c r="Z212" s="76"/>
      <c r="AA212" s="76"/>
      <c r="AB212" s="76"/>
      <c r="AC212" s="76"/>
      <c r="AD212" s="76"/>
    </row>
    <row r="213" spans="1:30" ht="12.75">
      <c r="A213" s="77">
        <v>10750</v>
      </c>
      <c r="B213" s="75"/>
      <c r="C213" s="77">
        <v>1173.0135077750917</v>
      </c>
      <c r="D213" s="77">
        <v>1627.632564498868</v>
      </c>
      <c r="E213" s="77">
        <v>1914.7069860035567</v>
      </c>
      <c r="F213" s="77">
        <v>2115.75121953393</v>
      </c>
      <c r="G213" s="77">
        <v>2293.47432197478</v>
      </c>
      <c r="H213" s="77">
        <v>2454.017524513015</v>
      </c>
      <c r="K213" s="63"/>
      <c r="L213" s="63"/>
      <c r="M213" s="63"/>
      <c r="N213" s="63"/>
      <c r="O213" s="63"/>
      <c r="P213" s="63"/>
      <c r="Q213" s="63"/>
      <c r="R213" s="63"/>
      <c r="S213" s="63"/>
      <c r="W213" s="63"/>
      <c r="Y213" s="76"/>
      <c r="Z213" s="76"/>
      <c r="AA213" s="76"/>
      <c r="AB213" s="76"/>
      <c r="AC213" s="76"/>
      <c r="AD213" s="76"/>
    </row>
    <row r="214" spans="1:30" ht="12.75">
      <c r="A214" s="77">
        <v>10800</v>
      </c>
      <c r="B214" s="75"/>
      <c r="C214" s="77">
        <v>1178.1138764604332</v>
      </c>
      <c r="D214" s="77">
        <v>1633.6464661056207</v>
      </c>
      <c r="E214" s="77">
        <v>1921.9194973577958</v>
      </c>
      <c r="F214" s="77">
        <v>2123.721044580364</v>
      </c>
      <c r="G214" s="77">
        <v>2302.1136123251144</v>
      </c>
      <c r="H214" s="77">
        <v>2463.2615651878727</v>
      </c>
      <c r="K214" s="63"/>
      <c r="L214" s="63"/>
      <c r="M214" s="63"/>
      <c r="N214" s="63"/>
      <c r="O214" s="63"/>
      <c r="P214" s="63"/>
      <c r="Q214" s="63"/>
      <c r="R214" s="63"/>
      <c r="S214" s="63"/>
      <c r="W214" s="63"/>
      <c r="Y214" s="76"/>
      <c r="Z214" s="76"/>
      <c r="AA214" s="76"/>
      <c r="AB214" s="76"/>
      <c r="AC214" s="76"/>
      <c r="AD214" s="76"/>
    </row>
    <row r="215" spans="1:30" ht="12.75">
      <c r="A215" s="77">
        <v>10850</v>
      </c>
      <c r="B215" s="75"/>
      <c r="C215" s="77">
        <v>1183.2142451457748</v>
      </c>
      <c r="D215" s="77">
        <v>1639.6603677123735</v>
      </c>
      <c r="E215" s="77">
        <v>1929.1320087120348</v>
      </c>
      <c r="F215" s="77">
        <v>2131.6908696267983</v>
      </c>
      <c r="G215" s="77">
        <v>2310.752902675449</v>
      </c>
      <c r="H215" s="77">
        <v>2472.5056058627306</v>
      </c>
      <c r="K215" s="63"/>
      <c r="L215" s="63"/>
      <c r="M215" s="63"/>
      <c r="N215" s="63"/>
      <c r="O215" s="63"/>
      <c r="P215" s="63"/>
      <c r="Q215" s="63"/>
      <c r="R215" s="63"/>
      <c r="S215" s="63"/>
      <c r="W215" s="63"/>
      <c r="Y215" s="76"/>
      <c r="Z215" s="76"/>
      <c r="AA215" s="76"/>
      <c r="AB215" s="76"/>
      <c r="AC215" s="76"/>
      <c r="AD215" s="76"/>
    </row>
    <row r="216" spans="1:30" ht="12.75">
      <c r="A216" s="77">
        <v>10900</v>
      </c>
      <c r="B216" s="75"/>
      <c r="C216" s="77">
        <v>1188.3146138311165</v>
      </c>
      <c r="D216" s="77">
        <v>1645.674269319126</v>
      </c>
      <c r="E216" s="77">
        <v>1936.3445200662738</v>
      </c>
      <c r="F216" s="77">
        <v>2139.6606946732322</v>
      </c>
      <c r="G216" s="77">
        <v>2319.392193025784</v>
      </c>
      <c r="H216" s="77">
        <v>2481.749646537589</v>
      </c>
      <c r="K216" s="63"/>
      <c r="L216" s="63"/>
      <c r="M216" s="63"/>
      <c r="N216" s="63"/>
      <c r="O216" s="63"/>
      <c r="P216" s="63"/>
      <c r="Q216" s="63"/>
      <c r="R216" s="63"/>
      <c r="S216" s="63"/>
      <c r="W216" s="63"/>
      <c r="Y216" s="76"/>
      <c r="Z216" s="76"/>
      <c r="AA216" s="76"/>
      <c r="AB216" s="76"/>
      <c r="AC216" s="76"/>
      <c r="AD216" s="76"/>
    </row>
    <row r="217" spans="1:30" ht="12.75">
      <c r="A217" s="77">
        <v>10950</v>
      </c>
      <c r="B217" s="75"/>
      <c r="C217" s="77">
        <v>1193.414982516458</v>
      </c>
      <c r="D217" s="77">
        <v>1651.6881709258787</v>
      </c>
      <c r="E217" s="77">
        <v>1943.5570314205129</v>
      </c>
      <c r="F217" s="77">
        <v>2147.6305197196666</v>
      </c>
      <c r="G217" s="77">
        <v>2328.031483376118</v>
      </c>
      <c r="H217" s="77">
        <v>2490.9936872124467</v>
      </c>
      <c r="K217" s="63"/>
      <c r="L217" s="63"/>
      <c r="M217" s="63"/>
      <c r="N217" s="63"/>
      <c r="O217" s="63"/>
      <c r="P217" s="63"/>
      <c r="Q217" s="63"/>
      <c r="R217" s="63"/>
      <c r="S217" s="63"/>
      <c r="W217" s="63"/>
      <c r="Y217" s="76"/>
      <c r="Z217" s="76"/>
      <c r="AA217" s="76"/>
      <c r="AB217" s="76"/>
      <c r="AC217" s="76"/>
      <c r="AD217" s="76"/>
    </row>
    <row r="218" spans="1:30" ht="12.75">
      <c r="A218" s="77">
        <v>11000</v>
      </c>
      <c r="B218" s="75"/>
      <c r="C218" s="77">
        <v>1198.5153512017996</v>
      </c>
      <c r="D218" s="77">
        <v>1657.7020725326315</v>
      </c>
      <c r="E218" s="77">
        <v>1950.769542774752</v>
      </c>
      <c r="F218" s="77">
        <v>2155.6003447661005</v>
      </c>
      <c r="G218" s="77">
        <v>2336.670773726453</v>
      </c>
      <c r="H218" s="77">
        <v>2500.2377278873046</v>
      </c>
      <c r="K218" s="63"/>
      <c r="L218" s="63"/>
      <c r="M218" s="63"/>
      <c r="N218" s="63"/>
      <c r="O218" s="63"/>
      <c r="P218" s="63"/>
      <c r="Q218" s="63"/>
      <c r="R218" s="63"/>
      <c r="S218" s="63"/>
      <c r="W218" s="63"/>
      <c r="Y218" s="76"/>
      <c r="Z218" s="76"/>
      <c r="AA218" s="76"/>
      <c r="AB218" s="76"/>
      <c r="AC218" s="76"/>
      <c r="AD218" s="76"/>
    </row>
    <row r="219" spans="1:30" ht="12.75">
      <c r="A219" s="77">
        <v>11050</v>
      </c>
      <c r="B219" s="75"/>
      <c r="C219" s="77">
        <v>1203.6157198871413</v>
      </c>
      <c r="D219" s="77">
        <v>1663.7159741393843</v>
      </c>
      <c r="E219" s="77">
        <v>1957.982054128991</v>
      </c>
      <c r="F219" s="77">
        <v>2163.570169812535</v>
      </c>
      <c r="G219" s="77">
        <v>2345.3100640767875</v>
      </c>
      <c r="H219" s="77">
        <v>2509.481768562163</v>
      </c>
      <c r="K219" s="63"/>
      <c r="L219" s="63"/>
      <c r="M219" s="63"/>
      <c r="N219" s="63"/>
      <c r="O219" s="63"/>
      <c r="P219" s="63"/>
      <c r="Q219" s="63"/>
      <c r="R219" s="63"/>
      <c r="S219" s="63"/>
      <c r="W219" s="63"/>
      <c r="Y219" s="76"/>
      <c r="Z219" s="76"/>
      <c r="AA219" s="76"/>
      <c r="AB219" s="76"/>
      <c r="AC219" s="76"/>
      <c r="AD219" s="76"/>
    </row>
    <row r="220" spans="1:30" ht="12.75">
      <c r="A220" s="77">
        <v>11100</v>
      </c>
      <c r="B220" s="75"/>
      <c r="C220" s="77">
        <v>1208.7160885724827</v>
      </c>
      <c r="D220" s="77">
        <v>1669.7298757461367</v>
      </c>
      <c r="E220" s="77">
        <v>1965.1945654832298</v>
      </c>
      <c r="F220" s="77">
        <v>2171.539994858969</v>
      </c>
      <c r="G220" s="77">
        <v>2353.9493544271218</v>
      </c>
      <c r="H220" s="77">
        <v>2518.7258092370207</v>
      </c>
      <c r="K220" s="63"/>
      <c r="L220" s="63"/>
      <c r="M220" s="63"/>
      <c r="N220" s="63"/>
      <c r="O220" s="63"/>
      <c r="P220" s="63"/>
      <c r="Q220" s="63"/>
      <c r="R220" s="63"/>
      <c r="S220" s="63"/>
      <c r="W220" s="63"/>
      <c r="Y220" s="76"/>
      <c r="Z220" s="76"/>
      <c r="AA220" s="76"/>
      <c r="AB220" s="76"/>
      <c r="AC220" s="76"/>
      <c r="AD220" s="76"/>
    </row>
    <row r="221" spans="1:30" ht="12.75">
      <c r="A221" s="77">
        <v>11150</v>
      </c>
      <c r="B221" s="75"/>
      <c r="C221" s="77">
        <v>1213.8164572578244</v>
      </c>
      <c r="D221" s="77">
        <v>1675.7437773528895</v>
      </c>
      <c r="E221" s="77">
        <v>1972.407076837469</v>
      </c>
      <c r="F221" s="77">
        <v>2179.509819905403</v>
      </c>
      <c r="G221" s="77">
        <v>2362.5886447774565</v>
      </c>
      <c r="H221" s="77">
        <v>2527.9698499118786</v>
      </c>
      <c r="K221" s="63"/>
      <c r="L221" s="63"/>
      <c r="M221" s="63"/>
      <c r="N221" s="63"/>
      <c r="O221" s="63"/>
      <c r="P221" s="63"/>
      <c r="Q221" s="63"/>
      <c r="R221" s="63"/>
      <c r="S221" s="63"/>
      <c r="W221" s="63"/>
      <c r="Y221" s="76"/>
      <c r="Z221" s="76"/>
      <c r="AA221" s="76"/>
      <c r="AB221" s="76"/>
      <c r="AC221" s="76"/>
      <c r="AD221" s="76"/>
    </row>
    <row r="222" spans="1:30" ht="12.75">
      <c r="A222" s="77">
        <v>11200</v>
      </c>
      <c r="B222" s="75"/>
      <c r="C222" s="77">
        <v>1218.9416067005388</v>
      </c>
      <c r="D222" s="77">
        <v>1681.774859615999</v>
      </c>
      <c r="E222" s="77">
        <v>1979.641305954246</v>
      </c>
      <c r="F222" s="77">
        <v>2187.5036430794416</v>
      </c>
      <c r="G222" s="77">
        <v>2371.253949098115</v>
      </c>
      <c r="H222" s="77">
        <v>2537.241725534983</v>
      </c>
      <c r="K222" s="63"/>
      <c r="L222" s="63"/>
      <c r="M222" s="63"/>
      <c r="N222" s="63"/>
      <c r="O222" s="63"/>
      <c r="P222" s="63"/>
      <c r="Q222" s="63"/>
      <c r="R222" s="63"/>
      <c r="S222" s="63"/>
      <c r="W222" s="63"/>
      <c r="Y222" s="76"/>
      <c r="Z222" s="76"/>
      <c r="AA222" s="76"/>
      <c r="AB222" s="76"/>
      <c r="AC222" s="76"/>
      <c r="AD222" s="76"/>
    </row>
    <row r="223" spans="1:30" ht="12.75">
      <c r="A223" s="77">
        <v>11250</v>
      </c>
      <c r="B223" s="75"/>
      <c r="C223" s="77">
        <v>1221.1378304976045</v>
      </c>
      <c r="D223" s="77">
        <v>1685.7752991406842</v>
      </c>
      <c r="E223" s="77">
        <v>1984.3086356536141</v>
      </c>
      <c r="F223" s="77">
        <v>2192.6610423972434</v>
      </c>
      <c r="G223" s="77">
        <v>2376.844569958612</v>
      </c>
      <c r="H223" s="77">
        <v>2543.2236898557144</v>
      </c>
      <c r="K223" s="63"/>
      <c r="L223" s="63"/>
      <c r="M223" s="63"/>
      <c r="N223" s="63"/>
      <c r="O223" s="63"/>
      <c r="P223" s="63"/>
      <c r="Q223" s="63"/>
      <c r="R223" s="63"/>
      <c r="S223" s="63"/>
      <c r="W223" s="63"/>
      <c r="Y223" s="76"/>
      <c r="Z223" s="76"/>
      <c r="AA223" s="76"/>
      <c r="AB223" s="76"/>
      <c r="AC223" s="76"/>
      <c r="AD223" s="76"/>
    </row>
    <row r="224" spans="1:30" ht="12.75">
      <c r="A224" s="77">
        <v>11300</v>
      </c>
      <c r="B224" s="75"/>
      <c r="C224" s="77">
        <v>1223.1672065743314</v>
      </c>
      <c r="D224" s="77">
        <v>1689.471824184551</v>
      </c>
      <c r="E224" s="77">
        <v>1988.6213870438642</v>
      </c>
      <c r="F224" s="77">
        <v>2197.42663268347</v>
      </c>
      <c r="G224" s="77">
        <v>2382.010469828881</v>
      </c>
      <c r="H224" s="77">
        <v>2548.7512027169028</v>
      </c>
      <c r="K224" s="63"/>
      <c r="L224" s="63"/>
      <c r="M224" s="63"/>
      <c r="N224" s="63"/>
      <c r="O224" s="63"/>
      <c r="P224" s="63"/>
      <c r="Q224" s="63"/>
      <c r="R224" s="63"/>
      <c r="S224" s="63"/>
      <c r="W224" s="63"/>
      <c r="Y224" s="76"/>
      <c r="Z224" s="76"/>
      <c r="AA224" s="76"/>
      <c r="AB224" s="76"/>
      <c r="AC224" s="76"/>
      <c r="AD224" s="76"/>
    </row>
    <row r="225" spans="1:30" ht="12.75">
      <c r="A225" s="77">
        <v>11350</v>
      </c>
      <c r="B225" s="75"/>
      <c r="C225" s="77">
        <v>1225.1820741536376</v>
      </c>
      <c r="D225" s="77">
        <v>1693.1419218822596</v>
      </c>
      <c r="E225" s="77">
        <v>1992.9033055376692</v>
      </c>
      <c r="F225" s="77">
        <v>2202.1581526191244</v>
      </c>
      <c r="G225" s="77">
        <v>2387.1394374391307</v>
      </c>
      <c r="H225" s="77">
        <v>2554.23919805987</v>
      </c>
      <c r="K225" s="63"/>
      <c r="L225" s="63"/>
      <c r="M225" s="63"/>
      <c r="N225" s="63"/>
      <c r="O225" s="63"/>
      <c r="P225" s="63"/>
      <c r="Q225" s="63"/>
      <c r="R225" s="63"/>
      <c r="S225" s="63"/>
      <c r="W225" s="63"/>
      <c r="Y225" s="76"/>
      <c r="Z225" s="76"/>
      <c r="AA225" s="76"/>
      <c r="AB225" s="76"/>
      <c r="AC225" s="76"/>
      <c r="AD225" s="76"/>
    </row>
    <row r="226" spans="1:30" ht="12.75">
      <c r="A226" s="77">
        <v>11400</v>
      </c>
      <c r="B226" s="75"/>
      <c r="C226" s="77">
        <v>1227.1969417329437</v>
      </c>
      <c r="D226" s="77">
        <v>1696.8120195799681</v>
      </c>
      <c r="E226" s="77">
        <v>1997.185224031474</v>
      </c>
      <c r="F226" s="77">
        <v>2206.889672554779</v>
      </c>
      <c r="G226" s="77">
        <v>2392.26840504938</v>
      </c>
      <c r="H226" s="77">
        <v>2559.7271934028367</v>
      </c>
      <c r="K226" s="63"/>
      <c r="L226" s="63"/>
      <c r="M226" s="63"/>
      <c r="N226" s="63"/>
      <c r="O226" s="63"/>
      <c r="P226" s="63"/>
      <c r="Q226" s="63"/>
      <c r="R226" s="63"/>
      <c r="S226" s="63"/>
      <c r="W226" s="63"/>
      <c r="Y226" s="76"/>
      <c r="Z226" s="76"/>
      <c r="AA226" s="76"/>
      <c r="AB226" s="76"/>
      <c r="AC226" s="76"/>
      <c r="AD226" s="76"/>
    </row>
    <row r="227" spans="1:30" ht="12.75">
      <c r="A227" s="77">
        <v>11450</v>
      </c>
      <c r="B227" s="75"/>
      <c r="C227" s="77">
        <v>1229.21180931225</v>
      </c>
      <c r="D227" s="77">
        <v>1700.482117277677</v>
      </c>
      <c r="E227" s="77">
        <v>2001.467142525279</v>
      </c>
      <c r="F227" s="77">
        <v>2211.6211924904333</v>
      </c>
      <c r="G227" s="77">
        <v>2397.3973726596296</v>
      </c>
      <c r="H227" s="77">
        <v>2565.2151887458035</v>
      </c>
      <c r="K227" s="63"/>
      <c r="L227" s="63"/>
      <c r="M227" s="63"/>
      <c r="N227" s="63"/>
      <c r="O227" s="63"/>
      <c r="P227" s="63"/>
      <c r="Q227" s="63"/>
      <c r="R227" s="63"/>
      <c r="S227" s="63"/>
      <c r="W227" s="63"/>
      <c r="Y227" s="76"/>
      <c r="Z227" s="76"/>
      <c r="AA227" s="76"/>
      <c r="AB227" s="76"/>
      <c r="AC227" s="76"/>
      <c r="AD227" s="76"/>
    </row>
    <row r="228" spans="1:30" ht="12.75">
      <c r="A228" s="77">
        <v>11500</v>
      </c>
      <c r="B228" s="75"/>
      <c r="C228" s="77">
        <v>1231.226676891556</v>
      </c>
      <c r="D228" s="77">
        <v>1704.1522149753855</v>
      </c>
      <c r="E228" s="77">
        <v>2005.7490610190841</v>
      </c>
      <c r="F228" s="77">
        <v>2216.352712426088</v>
      </c>
      <c r="G228" s="77">
        <v>2402.5263402698793</v>
      </c>
      <c r="H228" s="77">
        <v>2570.7031840887707</v>
      </c>
      <c r="K228" s="63"/>
      <c r="L228" s="63"/>
      <c r="M228" s="63"/>
      <c r="N228" s="63"/>
      <c r="O228" s="63"/>
      <c r="P228" s="63"/>
      <c r="Q228" s="63"/>
      <c r="R228" s="63"/>
      <c r="S228" s="63"/>
      <c r="W228" s="63"/>
      <c r="Y228" s="76"/>
      <c r="Z228" s="76"/>
      <c r="AA228" s="76"/>
      <c r="AB228" s="76"/>
      <c r="AC228" s="76"/>
      <c r="AD228" s="76"/>
    </row>
    <row r="229" spans="1:30" ht="12.75">
      <c r="A229" s="77">
        <v>11550</v>
      </c>
      <c r="B229" s="75"/>
      <c r="C229" s="77">
        <v>1233.2415444708622</v>
      </c>
      <c r="D229" s="77">
        <v>1707.822312673094</v>
      </c>
      <c r="E229" s="77">
        <v>2010.0309795128892</v>
      </c>
      <c r="F229" s="77">
        <v>2221.0842323617426</v>
      </c>
      <c r="G229" s="77">
        <v>2407.6553078801285</v>
      </c>
      <c r="H229" s="77">
        <v>2576.1911794317375</v>
      </c>
      <c r="K229" s="63"/>
      <c r="L229" s="63"/>
      <c r="M229" s="63"/>
      <c r="N229" s="63"/>
      <c r="O229" s="63"/>
      <c r="P229" s="63"/>
      <c r="Q229" s="63"/>
      <c r="R229" s="63"/>
      <c r="S229" s="63"/>
      <c r="W229" s="63"/>
      <c r="Y229" s="76"/>
      <c r="Z229" s="76"/>
      <c r="AA229" s="76"/>
      <c r="AB229" s="76"/>
      <c r="AC229" s="76"/>
      <c r="AD229" s="76"/>
    </row>
    <row r="230" spans="1:30" ht="12.75">
      <c r="A230" s="77">
        <v>11600</v>
      </c>
      <c r="B230" s="75"/>
      <c r="C230" s="77">
        <v>1235.2564120501684</v>
      </c>
      <c r="D230" s="77">
        <v>1711.4924103708029</v>
      </c>
      <c r="E230" s="77">
        <v>2014.3128980066942</v>
      </c>
      <c r="F230" s="77">
        <v>2225.815752297397</v>
      </c>
      <c r="G230" s="77">
        <v>2412.784275490378</v>
      </c>
      <c r="H230" s="77">
        <v>2581.6791747747047</v>
      </c>
      <c r="K230" s="63"/>
      <c r="L230" s="63"/>
      <c r="M230" s="63"/>
      <c r="N230" s="63"/>
      <c r="O230" s="63"/>
      <c r="P230" s="63"/>
      <c r="Q230" s="63"/>
      <c r="R230" s="63"/>
      <c r="S230" s="63"/>
      <c r="W230" s="63"/>
      <c r="Y230" s="76"/>
      <c r="Z230" s="76"/>
      <c r="AA230" s="76"/>
      <c r="AB230" s="76"/>
      <c r="AC230" s="76"/>
      <c r="AD230" s="76"/>
    </row>
    <row r="231" spans="1:30" ht="12.75">
      <c r="A231" s="77">
        <v>11650</v>
      </c>
      <c r="B231" s="75"/>
      <c r="C231" s="77">
        <v>1237.2712796294745</v>
      </c>
      <c r="D231" s="77">
        <v>1715.1625080685114</v>
      </c>
      <c r="E231" s="77">
        <v>2018.594816500499</v>
      </c>
      <c r="F231" s="77">
        <v>2230.5472722330514</v>
      </c>
      <c r="G231" s="77">
        <v>2417.913243100628</v>
      </c>
      <c r="H231" s="77">
        <v>2587.1671701176715</v>
      </c>
      <c r="K231" s="63"/>
      <c r="L231" s="63"/>
      <c r="M231" s="63"/>
      <c r="N231" s="63"/>
      <c r="O231" s="63"/>
      <c r="P231" s="63"/>
      <c r="Q231" s="63"/>
      <c r="R231" s="63"/>
      <c r="S231" s="63"/>
      <c r="W231" s="63"/>
      <c r="Y231" s="76"/>
      <c r="Z231" s="76"/>
      <c r="AA231" s="76"/>
      <c r="AB231" s="76"/>
      <c r="AC231" s="76"/>
      <c r="AD231" s="76"/>
    </row>
    <row r="232" spans="1:30" ht="12.75">
      <c r="A232" s="77">
        <v>11700</v>
      </c>
      <c r="B232" s="75"/>
      <c r="C232" s="77">
        <v>1239.2861472087807</v>
      </c>
      <c r="D232" s="77">
        <v>1718.8326057662202</v>
      </c>
      <c r="E232" s="77">
        <v>2022.8767349943043</v>
      </c>
      <c r="F232" s="77">
        <v>2235.2787921687063</v>
      </c>
      <c r="G232" s="77">
        <v>2423.042210710877</v>
      </c>
      <c r="H232" s="77">
        <v>2592.6551654606387</v>
      </c>
      <c r="K232" s="63"/>
      <c r="L232" s="63"/>
      <c r="M232" s="63"/>
      <c r="N232" s="63"/>
      <c r="O232" s="63"/>
      <c r="P232" s="63"/>
      <c r="Q232" s="63"/>
      <c r="R232" s="63"/>
      <c r="S232" s="63"/>
      <c r="W232" s="63"/>
      <c r="Y232" s="76"/>
      <c r="Z232" s="76"/>
      <c r="AA232" s="76"/>
      <c r="AB232" s="76"/>
      <c r="AC232" s="76"/>
      <c r="AD232" s="76"/>
    </row>
    <row r="233" spans="1:30" ht="12.75">
      <c r="A233" s="77">
        <v>11750</v>
      </c>
      <c r="B233" s="75"/>
      <c r="C233" s="77">
        <v>1241.3010147880868</v>
      </c>
      <c r="D233" s="77">
        <v>1722.5027034639288</v>
      </c>
      <c r="E233" s="77">
        <v>2027.1586534881092</v>
      </c>
      <c r="F233" s="77">
        <v>2240.0103121043608</v>
      </c>
      <c r="G233" s="77">
        <v>2428.1711783211267</v>
      </c>
      <c r="H233" s="77">
        <v>2598.1431608036055</v>
      </c>
      <c r="K233" s="63"/>
      <c r="L233" s="63"/>
      <c r="M233" s="63"/>
      <c r="N233" s="63"/>
      <c r="O233" s="63"/>
      <c r="P233" s="63"/>
      <c r="Q233" s="63"/>
      <c r="R233" s="63"/>
      <c r="S233" s="63"/>
      <c r="W233" s="63"/>
      <c r="Y233" s="76"/>
      <c r="Z233" s="76"/>
      <c r="AA233" s="76"/>
      <c r="AB233" s="76"/>
      <c r="AC233" s="76"/>
      <c r="AD233" s="76"/>
    </row>
    <row r="234" spans="1:30" ht="12.75">
      <c r="A234" s="77">
        <v>11800</v>
      </c>
      <c r="B234" s="75"/>
      <c r="C234" s="77">
        <v>1243.315882367393</v>
      </c>
      <c r="D234" s="77">
        <v>1726.1728011616376</v>
      </c>
      <c r="E234" s="77">
        <v>2031.4405719819142</v>
      </c>
      <c r="F234" s="77">
        <v>2244.741832040015</v>
      </c>
      <c r="G234" s="77">
        <v>2433.3001459313764</v>
      </c>
      <c r="H234" s="77">
        <v>2603.6311561465727</v>
      </c>
      <c r="K234" s="63"/>
      <c r="L234" s="63"/>
      <c r="M234" s="63"/>
      <c r="N234" s="63"/>
      <c r="O234" s="63"/>
      <c r="P234" s="63"/>
      <c r="Q234" s="63"/>
      <c r="R234" s="63"/>
      <c r="S234" s="63"/>
      <c r="W234" s="63"/>
      <c r="Y234" s="76"/>
      <c r="Z234" s="76"/>
      <c r="AA234" s="76"/>
      <c r="AB234" s="76"/>
      <c r="AC234" s="76"/>
      <c r="AD234" s="76"/>
    </row>
    <row r="235" spans="1:30" ht="12.75">
      <c r="A235" s="77">
        <v>11850</v>
      </c>
      <c r="B235" s="75"/>
      <c r="C235" s="77">
        <v>1245.3307499466991</v>
      </c>
      <c r="D235" s="77">
        <v>1729.8428988593462</v>
      </c>
      <c r="E235" s="77">
        <v>2035.7224904757193</v>
      </c>
      <c r="F235" s="77">
        <v>2249.4733519756696</v>
      </c>
      <c r="G235" s="77">
        <v>2438.4291135416256</v>
      </c>
      <c r="H235" s="77">
        <v>2609.1191514895395</v>
      </c>
      <c r="K235" s="63"/>
      <c r="L235" s="63"/>
      <c r="M235" s="63"/>
      <c r="N235" s="63"/>
      <c r="O235" s="63"/>
      <c r="P235" s="63"/>
      <c r="Q235" s="63"/>
      <c r="R235" s="63"/>
      <c r="S235" s="63"/>
      <c r="W235" s="63"/>
      <c r="Y235" s="76"/>
      <c r="Z235" s="76"/>
      <c r="AA235" s="76"/>
      <c r="AB235" s="76"/>
      <c r="AC235" s="76"/>
      <c r="AD235" s="76"/>
    </row>
    <row r="236" spans="1:30" ht="12.75">
      <c r="A236" s="77">
        <v>11900</v>
      </c>
      <c r="B236" s="75"/>
      <c r="C236" s="77">
        <v>1247.3456175260053</v>
      </c>
      <c r="D236" s="77">
        <v>1733.5129965570547</v>
      </c>
      <c r="E236" s="77">
        <v>2040.0044089695243</v>
      </c>
      <c r="F236" s="77">
        <v>2254.204871911324</v>
      </c>
      <c r="G236" s="77">
        <v>2443.5580811518753</v>
      </c>
      <c r="H236" s="77">
        <v>2614.6071468325067</v>
      </c>
      <c r="K236" s="63"/>
      <c r="L236" s="63"/>
      <c r="M236" s="63"/>
      <c r="N236" s="63"/>
      <c r="O236" s="63"/>
      <c r="P236" s="63"/>
      <c r="Q236" s="63"/>
      <c r="R236" s="63"/>
      <c r="S236" s="63"/>
      <c r="W236" s="63"/>
      <c r="Y236" s="76"/>
      <c r="Z236" s="76"/>
      <c r="AA236" s="76"/>
      <c r="AB236" s="76"/>
      <c r="AC236" s="76"/>
      <c r="AD236" s="76"/>
    </row>
    <row r="237" spans="1:30" ht="12.75">
      <c r="A237" s="77">
        <v>11950</v>
      </c>
      <c r="B237" s="75"/>
      <c r="C237" s="77">
        <v>1249.3604851053115</v>
      </c>
      <c r="D237" s="77">
        <v>1737.1830942547633</v>
      </c>
      <c r="E237" s="77">
        <v>2044.2863274633291</v>
      </c>
      <c r="F237" s="77">
        <v>2258.9363918469785</v>
      </c>
      <c r="G237" s="77">
        <v>2448.6870487621245</v>
      </c>
      <c r="H237" s="77">
        <v>2620.0951421754735</v>
      </c>
      <c r="K237" s="63"/>
      <c r="L237" s="63"/>
      <c r="M237" s="63"/>
      <c r="N237" s="63"/>
      <c r="O237" s="63"/>
      <c r="P237" s="63"/>
      <c r="Q237" s="63"/>
      <c r="R237" s="63"/>
      <c r="S237" s="63"/>
      <c r="W237" s="63"/>
      <c r="Y237" s="76"/>
      <c r="Z237" s="76"/>
      <c r="AA237" s="76"/>
      <c r="AB237" s="76"/>
      <c r="AC237" s="76"/>
      <c r="AD237" s="76"/>
    </row>
    <row r="238" spans="1:30" ht="12.75">
      <c r="A238" s="77">
        <v>12000</v>
      </c>
      <c r="B238" s="75"/>
      <c r="C238" s="77">
        <v>1251.3753526846176</v>
      </c>
      <c r="D238" s="77">
        <v>1740.8531919524721</v>
      </c>
      <c r="E238" s="77">
        <v>2048.5682459571344</v>
      </c>
      <c r="F238" s="77">
        <v>2263.6679117826334</v>
      </c>
      <c r="G238" s="77">
        <v>2453.816016372374</v>
      </c>
      <c r="H238" s="77">
        <v>2625.5831375184407</v>
      </c>
      <c r="K238" s="63"/>
      <c r="L238" s="63"/>
      <c r="M238" s="63"/>
      <c r="N238" s="63"/>
      <c r="O238" s="63"/>
      <c r="P238" s="63"/>
      <c r="Q238" s="63"/>
      <c r="R238" s="63"/>
      <c r="S238" s="63"/>
      <c r="W238" s="63"/>
      <c r="Y238" s="76"/>
      <c r="Z238" s="76"/>
      <c r="AA238" s="76"/>
      <c r="AB238" s="76"/>
      <c r="AC238" s="76"/>
      <c r="AD238" s="76"/>
    </row>
    <row r="239" spans="1:30" ht="12.75">
      <c r="A239" s="77">
        <v>12050</v>
      </c>
      <c r="B239" s="75"/>
      <c r="C239" s="77">
        <v>1253.3902202639238</v>
      </c>
      <c r="D239" s="77">
        <v>1744.5232896501807</v>
      </c>
      <c r="E239" s="77">
        <v>2052.8501644509392</v>
      </c>
      <c r="F239" s="77">
        <v>2268.399431718288</v>
      </c>
      <c r="G239" s="77">
        <v>2458.944983982624</v>
      </c>
      <c r="H239" s="77">
        <v>2631.0711328614075</v>
      </c>
      <c r="K239" s="63"/>
      <c r="L239" s="63"/>
      <c r="M239" s="63"/>
      <c r="N239" s="63"/>
      <c r="O239" s="63"/>
      <c r="P239" s="63"/>
      <c r="Q239" s="63"/>
      <c r="R239" s="63"/>
      <c r="S239" s="63"/>
      <c r="W239" s="63"/>
      <c r="Y239" s="76"/>
      <c r="Z239" s="76"/>
      <c r="AA239" s="76"/>
      <c r="AB239" s="76"/>
      <c r="AC239" s="76"/>
      <c r="AD239" s="76"/>
    </row>
    <row r="240" spans="1:30" ht="12.75">
      <c r="A240" s="77">
        <v>12100</v>
      </c>
      <c r="B240" s="75"/>
      <c r="C240" s="77">
        <v>1255.4050878432301</v>
      </c>
      <c r="D240" s="77">
        <v>1748.1933873478893</v>
      </c>
      <c r="E240" s="77">
        <v>2057.1320829447445</v>
      </c>
      <c r="F240" s="77">
        <v>2273.1309516539422</v>
      </c>
      <c r="G240" s="77">
        <v>2464.0739515928735</v>
      </c>
      <c r="H240" s="77">
        <v>2636.5591282043747</v>
      </c>
      <c r="K240" s="63"/>
      <c r="L240" s="63"/>
      <c r="M240" s="63"/>
      <c r="N240" s="63"/>
      <c r="O240" s="63"/>
      <c r="P240" s="63"/>
      <c r="Q240" s="63"/>
      <c r="R240" s="63"/>
      <c r="S240" s="63"/>
      <c r="W240" s="63"/>
      <c r="Y240" s="76"/>
      <c r="Z240" s="76"/>
      <c r="AA240" s="76"/>
      <c r="AB240" s="76"/>
      <c r="AC240" s="76"/>
      <c r="AD240" s="76"/>
    </row>
    <row r="241" spans="1:30" ht="12.75">
      <c r="A241" s="77">
        <v>12150</v>
      </c>
      <c r="B241" s="75"/>
      <c r="C241" s="77">
        <v>1257.4199554225363</v>
      </c>
      <c r="D241" s="77">
        <v>1751.863485045598</v>
      </c>
      <c r="E241" s="77">
        <v>2061.4140014385493</v>
      </c>
      <c r="F241" s="77">
        <v>2277.862471589597</v>
      </c>
      <c r="G241" s="77">
        <v>2469.2029192031227</v>
      </c>
      <c r="H241" s="77">
        <v>2642.0471235473415</v>
      </c>
      <c r="K241" s="63"/>
      <c r="L241" s="63"/>
      <c r="M241" s="63"/>
      <c r="N241" s="63"/>
      <c r="O241" s="63"/>
      <c r="P241" s="63"/>
      <c r="Q241" s="63"/>
      <c r="R241" s="63"/>
      <c r="S241" s="63"/>
      <c r="W241" s="63"/>
      <c r="Y241" s="76"/>
      <c r="Z241" s="76"/>
      <c r="AA241" s="76"/>
      <c r="AB241" s="76"/>
      <c r="AC241" s="76"/>
      <c r="AD241" s="76"/>
    </row>
    <row r="242" spans="1:30" ht="12.75">
      <c r="A242" s="77">
        <v>12200</v>
      </c>
      <c r="B242" s="75"/>
      <c r="C242" s="77">
        <v>1259.4348230018425</v>
      </c>
      <c r="D242" s="77">
        <v>1755.5335827433066</v>
      </c>
      <c r="E242" s="77">
        <v>2065.695919932354</v>
      </c>
      <c r="F242" s="77">
        <v>2282.5939915252516</v>
      </c>
      <c r="G242" s="77">
        <v>2474.3318868133724</v>
      </c>
      <c r="H242" s="77">
        <v>2647.5351188903087</v>
      </c>
      <c r="K242" s="63"/>
      <c r="L242" s="63"/>
      <c r="M242" s="63"/>
      <c r="N242" s="63"/>
      <c r="O242" s="63"/>
      <c r="P242" s="63"/>
      <c r="Q242" s="63"/>
      <c r="R242" s="63"/>
      <c r="S242" s="63"/>
      <c r="W242" s="63"/>
      <c r="Y242" s="76"/>
      <c r="Z242" s="76"/>
      <c r="AA242" s="76"/>
      <c r="AB242" s="76"/>
      <c r="AC242" s="76"/>
      <c r="AD242" s="76"/>
    </row>
    <row r="243" spans="1:30" ht="12.75">
      <c r="A243" s="77">
        <v>12250</v>
      </c>
      <c r="B243" s="75"/>
      <c r="C243" s="77">
        <v>1261.4496905811486</v>
      </c>
      <c r="D243" s="77">
        <v>1759.2036804410152</v>
      </c>
      <c r="E243" s="77">
        <v>2069.9778384261595</v>
      </c>
      <c r="F243" s="77">
        <v>2287.325511460906</v>
      </c>
      <c r="G243" s="77">
        <v>2479.460854423622</v>
      </c>
      <c r="H243" s="77">
        <v>2653.0231142332755</v>
      </c>
      <c r="K243" s="63"/>
      <c r="L243" s="63"/>
      <c r="M243" s="63"/>
      <c r="N243" s="63"/>
      <c r="O243" s="63"/>
      <c r="P243" s="63"/>
      <c r="Q243" s="63"/>
      <c r="R243" s="63"/>
      <c r="S243" s="63"/>
      <c r="W243" s="63"/>
      <c r="Y243" s="76"/>
      <c r="Z243" s="76"/>
      <c r="AA243" s="76"/>
      <c r="AB243" s="76"/>
      <c r="AC243" s="76"/>
      <c r="AD243" s="76"/>
    </row>
    <row r="244" spans="1:30" ht="12.75">
      <c r="A244" s="77">
        <v>12300</v>
      </c>
      <c r="B244" s="75"/>
      <c r="C244" s="77">
        <v>1263.4645581604548</v>
      </c>
      <c r="D244" s="77">
        <v>1762.873778138724</v>
      </c>
      <c r="E244" s="77">
        <v>2074.2597569199643</v>
      </c>
      <c r="F244" s="77">
        <v>2292.057031396561</v>
      </c>
      <c r="G244" s="77">
        <v>2484.5898220338718</v>
      </c>
      <c r="H244" s="77">
        <v>2658.5111095762427</v>
      </c>
      <c r="K244" s="63"/>
      <c r="L244" s="63"/>
      <c r="M244" s="63"/>
      <c r="N244" s="63"/>
      <c r="O244" s="63"/>
      <c r="P244" s="63"/>
      <c r="Q244" s="63"/>
      <c r="R244" s="63"/>
      <c r="S244" s="63"/>
      <c r="W244" s="63"/>
      <c r="Y244" s="76"/>
      <c r="Z244" s="76"/>
      <c r="AA244" s="76"/>
      <c r="AB244" s="76"/>
      <c r="AC244" s="76"/>
      <c r="AD244" s="76"/>
    </row>
    <row r="245" spans="1:30" ht="12.75">
      <c r="A245" s="77">
        <v>12350</v>
      </c>
      <c r="B245" s="75"/>
      <c r="C245" s="77">
        <v>1265.479425739761</v>
      </c>
      <c r="D245" s="77">
        <v>1766.5438758364326</v>
      </c>
      <c r="E245" s="77">
        <v>2078.5416754137696</v>
      </c>
      <c r="F245" s="77">
        <v>2296.7885513322153</v>
      </c>
      <c r="G245" s="77">
        <v>2489.718789644121</v>
      </c>
      <c r="H245" s="77">
        <v>2663.9991049192095</v>
      </c>
      <c r="K245" s="63"/>
      <c r="L245" s="63"/>
      <c r="M245" s="63"/>
      <c r="N245" s="63"/>
      <c r="O245" s="63"/>
      <c r="P245" s="63"/>
      <c r="Q245" s="63"/>
      <c r="R245" s="63"/>
      <c r="S245" s="63"/>
      <c r="W245" s="63"/>
      <c r="Y245" s="76"/>
      <c r="Z245" s="76"/>
      <c r="AA245" s="76"/>
      <c r="AB245" s="76"/>
      <c r="AC245" s="76"/>
      <c r="AD245" s="76"/>
    </row>
    <row r="246" spans="1:30" ht="12.75">
      <c r="A246" s="77">
        <v>12400</v>
      </c>
      <c r="B246" s="75"/>
      <c r="C246" s="77">
        <v>1267.494293319067</v>
      </c>
      <c r="D246" s="77">
        <v>1770.2139735341411</v>
      </c>
      <c r="E246" s="77">
        <v>2082.8235939075744</v>
      </c>
      <c r="F246" s="77">
        <v>2301.5200712678698</v>
      </c>
      <c r="G246" s="77">
        <v>2494.8477572543707</v>
      </c>
      <c r="H246" s="77">
        <v>2669.487100262176</v>
      </c>
      <c r="K246" s="63"/>
      <c r="L246" s="63"/>
      <c r="M246" s="63"/>
      <c r="N246" s="63"/>
      <c r="O246" s="63"/>
      <c r="P246" s="63"/>
      <c r="Q246" s="63"/>
      <c r="R246" s="63"/>
      <c r="S246" s="63"/>
      <c r="W246" s="63"/>
      <c r="Y246" s="76"/>
      <c r="Z246" s="76"/>
      <c r="AA246" s="76"/>
      <c r="AB246" s="76"/>
      <c r="AC246" s="76"/>
      <c r="AD246" s="76"/>
    </row>
    <row r="247" spans="1:30" ht="12.75">
      <c r="A247" s="77">
        <v>12450</v>
      </c>
      <c r="B247" s="75"/>
      <c r="C247" s="77">
        <v>1269.5091608983732</v>
      </c>
      <c r="D247" s="77">
        <v>1773.8840712318497</v>
      </c>
      <c r="E247" s="77">
        <v>2087.105512401379</v>
      </c>
      <c r="F247" s="77">
        <v>2306.251591203524</v>
      </c>
      <c r="G247" s="77">
        <v>2499.97672486462</v>
      </c>
      <c r="H247" s="77">
        <v>2674.9750956051435</v>
      </c>
      <c r="K247" s="63"/>
      <c r="L247" s="63"/>
      <c r="M247" s="63"/>
      <c r="N247" s="63"/>
      <c r="O247" s="63"/>
      <c r="P247" s="63"/>
      <c r="Q247" s="63"/>
      <c r="R247" s="63"/>
      <c r="S247" s="63"/>
      <c r="W247" s="63"/>
      <c r="Y247" s="76"/>
      <c r="Z247" s="76"/>
      <c r="AA247" s="76"/>
      <c r="AB247" s="76"/>
      <c r="AC247" s="76"/>
      <c r="AD247" s="76"/>
    </row>
    <row r="248" spans="1:19" ht="12.75">
      <c r="A248" s="77">
        <v>12500</v>
      </c>
      <c r="B248" s="90"/>
      <c r="C248" s="77">
        <v>1271.5240284776794</v>
      </c>
      <c r="D248" s="77">
        <v>1777.5541689295585</v>
      </c>
      <c r="E248" s="77">
        <v>2091.3874308951845</v>
      </c>
      <c r="F248" s="77">
        <v>2310.9831111391786</v>
      </c>
      <c r="G248" s="77">
        <v>2505.1056924748696</v>
      </c>
      <c r="H248" s="77">
        <v>2680.46309094811</v>
      </c>
      <c r="K248" s="63"/>
      <c r="L248" s="63"/>
      <c r="M248" s="63"/>
      <c r="N248" s="63"/>
      <c r="O248" s="63"/>
      <c r="P248" s="63"/>
      <c r="Q248" s="63"/>
      <c r="R248" s="63"/>
      <c r="S248" s="63"/>
    </row>
    <row r="249" spans="1:19" ht="12.75">
      <c r="A249" s="77">
        <v>12550</v>
      </c>
      <c r="B249" s="75"/>
      <c r="C249" s="77">
        <v>1273.5388960569855</v>
      </c>
      <c r="D249" s="77">
        <v>1781.224266627267</v>
      </c>
      <c r="E249" s="77">
        <v>2095.6693493889893</v>
      </c>
      <c r="F249" s="77">
        <v>2315.714631074833</v>
      </c>
      <c r="G249" s="77">
        <v>2510.234660085119</v>
      </c>
      <c r="H249" s="77">
        <v>2685.9510862910774</v>
      </c>
      <c r="K249" s="63"/>
      <c r="L249" s="63"/>
      <c r="M249" s="63"/>
      <c r="N249" s="63"/>
      <c r="O249" s="63"/>
      <c r="P249" s="63"/>
      <c r="Q249" s="63"/>
      <c r="R249" s="63"/>
      <c r="S249" s="63"/>
    </row>
    <row r="250" spans="1:19" ht="12.75">
      <c r="A250" s="77">
        <v>12600</v>
      </c>
      <c r="B250" s="75"/>
      <c r="C250" s="77">
        <v>1275.5537636362917</v>
      </c>
      <c r="D250" s="77">
        <v>1784.8943643249756</v>
      </c>
      <c r="E250" s="77">
        <v>2099.951267882794</v>
      </c>
      <c r="F250" s="77">
        <v>2320.4461510104875</v>
      </c>
      <c r="G250" s="77">
        <v>2515.3636276953685</v>
      </c>
      <c r="H250" s="77">
        <v>2691.439081634044</v>
      </c>
      <c r="K250" s="63"/>
      <c r="L250" s="63"/>
      <c r="M250" s="63"/>
      <c r="N250" s="63"/>
      <c r="O250" s="63"/>
      <c r="P250" s="63"/>
      <c r="Q250" s="63"/>
      <c r="R250" s="63"/>
      <c r="S250" s="63"/>
    </row>
    <row r="251" spans="1:19" ht="12.75">
      <c r="A251" s="77">
        <v>12650</v>
      </c>
      <c r="B251" s="75"/>
      <c r="C251" s="77">
        <v>1277.5686312155979</v>
      </c>
      <c r="D251" s="77">
        <v>1788.5644620226844</v>
      </c>
      <c r="E251" s="77">
        <v>2104.2331863765994</v>
      </c>
      <c r="F251" s="77">
        <v>2325.1776709461424</v>
      </c>
      <c r="G251" s="77">
        <v>2520.492595305618</v>
      </c>
      <c r="H251" s="77">
        <v>2696.9270769770114</v>
      </c>
      <c r="K251" s="63"/>
      <c r="L251" s="63"/>
      <c r="M251" s="63"/>
      <c r="N251" s="63"/>
      <c r="O251" s="63"/>
      <c r="P251" s="63"/>
      <c r="Q251" s="63"/>
      <c r="R251" s="63"/>
      <c r="S251" s="63"/>
    </row>
    <row r="252" spans="1:19" ht="12.75">
      <c r="A252" s="77">
        <v>12700</v>
      </c>
      <c r="B252" s="75"/>
      <c r="C252" s="77">
        <v>1279.583498794904</v>
      </c>
      <c r="D252" s="77">
        <v>1792.234559720393</v>
      </c>
      <c r="E252" s="77">
        <v>2108.5151048704042</v>
      </c>
      <c r="F252" s="77">
        <v>2329.909190881797</v>
      </c>
      <c r="G252" s="77">
        <v>2525.6215629158673</v>
      </c>
      <c r="H252" s="77">
        <v>2702.415072319978</v>
      </c>
      <c r="K252" s="63"/>
      <c r="L252" s="63"/>
      <c r="M252" s="63"/>
      <c r="N252" s="63"/>
      <c r="O252" s="63"/>
      <c r="P252" s="63"/>
      <c r="Q252" s="63"/>
      <c r="R252" s="63"/>
      <c r="S252" s="63"/>
    </row>
    <row r="253" spans="1:19" ht="12.75">
      <c r="A253" s="77">
        <v>12750</v>
      </c>
      <c r="B253" s="75"/>
      <c r="C253" s="77">
        <v>1281.5983663742102</v>
      </c>
      <c r="D253" s="77">
        <v>1795.9046574181018</v>
      </c>
      <c r="E253" s="77">
        <v>2112.7970233642095</v>
      </c>
      <c r="F253" s="77">
        <v>2334.6407108174517</v>
      </c>
      <c r="G253" s="77">
        <v>2530.750530526117</v>
      </c>
      <c r="H253" s="77">
        <v>2707.9030676629454</v>
      </c>
      <c r="K253" s="63"/>
      <c r="L253" s="63"/>
      <c r="M253" s="63"/>
      <c r="N253" s="63"/>
      <c r="O253" s="63"/>
      <c r="P253" s="63"/>
      <c r="Q253" s="63"/>
      <c r="R253" s="63"/>
      <c r="S253" s="63"/>
    </row>
    <row r="254" spans="1:19" ht="12.75">
      <c r="A254" s="77">
        <v>12800</v>
      </c>
      <c r="B254" s="75"/>
      <c r="C254" s="77">
        <v>1283.6132339535163</v>
      </c>
      <c r="D254" s="77">
        <v>1799.5747551158104</v>
      </c>
      <c r="E254" s="77">
        <v>2117.0789418580143</v>
      </c>
      <c r="F254" s="77">
        <v>2339.372230753106</v>
      </c>
      <c r="G254" s="77">
        <v>2535.8794981363667</v>
      </c>
      <c r="H254" s="77">
        <v>2713.391063005912</v>
      </c>
      <c r="K254" s="63"/>
      <c r="L254" s="63"/>
      <c r="M254" s="63"/>
      <c r="N254" s="63"/>
      <c r="O254" s="63"/>
      <c r="P254" s="63"/>
      <c r="Q254" s="63"/>
      <c r="R254" s="63"/>
      <c r="S254" s="63"/>
    </row>
    <row r="255" spans="1:19" ht="12.75">
      <c r="A255" s="77">
        <v>12850</v>
      </c>
      <c r="B255" s="75"/>
      <c r="C255" s="77">
        <v>1285.6281015328225</v>
      </c>
      <c r="D255" s="77">
        <v>1803.2448528135192</v>
      </c>
      <c r="E255" s="77">
        <v>2121.3608603518196</v>
      </c>
      <c r="F255" s="77">
        <v>2344.1037506887606</v>
      </c>
      <c r="G255" s="77">
        <v>2541.0084657466164</v>
      </c>
      <c r="H255" s="77">
        <v>2718.8790583488794</v>
      </c>
      <c r="K255" s="63"/>
      <c r="L255" s="63"/>
      <c r="M255" s="63"/>
      <c r="N255" s="63"/>
      <c r="O255" s="63"/>
      <c r="P255" s="63"/>
      <c r="Q255" s="63"/>
      <c r="R255" s="63"/>
      <c r="S255" s="63"/>
    </row>
    <row r="256" spans="1:19" ht="12.75">
      <c r="A256" s="77">
        <v>12900</v>
      </c>
      <c r="B256" s="75"/>
      <c r="C256" s="77">
        <v>1287.6429691121286</v>
      </c>
      <c r="D256" s="77">
        <v>1806.9149505112277</v>
      </c>
      <c r="E256" s="77">
        <v>2125.6427788456244</v>
      </c>
      <c r="F256" s="77">
        <v>2348.835270624415</v>
      </c>
      <c r="G256" s="77">
        <v>2546.1374333568656</v>
      </c>
      <c r="H256" s="77">
        <v>2724.367053691846</v>
      </c>
      <c r="K256" s="63"/>
      <c r="L256" s="63"/>
      <c r="M256" s="63"/>
      <c r="N256" s="63"/>
      <c r="O256" s="63"/>
      <c r="P256" s="63"/>
      <c r="Q256" s="63"/>
      <c r="R256" s="63"/>
      <c r="S256" s="63"/>
    </row>
    <row r="257" spans="1:19" ht="12.75">
      <c r="A257" s="77">
        <v>12950</v>
      </c>
      <c r="B257" s="75"/>
      <c r="C257" s="77">
        <v>1289.6578366914348</v>
      </c>
      <c r="D257" s="77">
        <v>1810.5850482089363</v>
      </c>
      <c r="E257" s="77">
        <v>2129.9246973394293</v>
      </c>
      <c r="F257" s="77">
        <v>2353.5667905600694</v>
      </c>
      <c r="G257" s="77">
        <v>2551.2664009671153</v>
      </c>
      <c r="H257" s="77">
        <v>2729.8550490348134</v>
      </c>
      <c r="K257" s="63"/>
      <c r="L257" s="63"/>
      <c r="M257" s="63"/>
      <c r="N257" s="63"/>
      <c r="O257" s="63"/>
      <c r="P257" s="63"/>
      <c r="Q257" s="63"/>
      <c r="R257" s="63"/>
      <c r="S257" s="63"/>
    </row>
    <row r="258" spans="1:19" ht="12.75">
      <c r="A258" s="77">
        <v>13000</v>
      </c>
      <c r="B258" s="75"/>
      <c r="C258" s="77">
        <v>1291.6727042707412</v>
      </c>
      <c r="D258" s="77">
        <v>1814.2551459066449</v>
      </c>
      <c r="E258" s="77">
        <v>2134.2066158332345</v>
      </c>
      <c r="F258" s="77">
        <v>2358.2983104957243</v>
      </c>
      <c r="G258" s="77">
        <v>2556.395368577365</v>
      </c>
      <c r="H258" s="77">
        <v>2735.34304437778</v>
      </c>
      <c r="K258" s="63"/>
      <c r="L258" s="63"/>
      <c r="M258" s="63"/>
      <c r="N258" s="63"/>
      <c r="O258" s="63"/>
      <c r="P258" s="63"/>
      <c r="Q258" s="63"/>
      <c r="R258" s="63"/>
      <c r="S258" s="63"/>
    </row>
    <row r="259" spans="1:19" ht="12.75">
      <c r="A259" s="77">
        <v>13050</v>
      </c>
      <c r="B259" s="75"/>
      <c r="C259" s="77">
        <v>1293.687571850047</v>
      </c>
      <c r="D259" s="77">
        <v>1817.9252436043537</v>
      </c>
      <c r="E259" s="77">
        <v>2138.4885343270394</v>
      </c>
      <c r="F259" s="77">
        <v>2363.0298304313787</v>
      </c>
      <c r="G259" s="77">
        <v>2561.524336187614</v>
      </c>
      <c r="H259" s="77">
        <v>2740.8310397207474</v>
      </c>
      <c r="K259" s="63"/>
      <c r="L259" s="63"/>
      <c r="M259" s="63"/>
      <c r="N259" s="63"/>
      <c r="O259" s="63"/>
      <c r="P259" s="63"/>
      <c r="Q259" s="63"/>
      <c r="R259" s="63"/>
      <c r="S259" s="63"/>
    </row>
    <row r="260" spans="1:19" ht="12.75">
      <c r="A260" s="77">
        <v>13100</v>
      </c>
      <c r="B260" s="75"/>
      <c r="C260" s="77">
        <v>1295.7024394293533</v>
      </c>
      <c r="D260" s="77">
        <v>1821.5953413020623</v>
      </c>
      <c r="E260" s="77">
        <v>2142.770452820844</v>
      </c>
      <c r="F260" s="77">
        <v>2367.761350367033</v>
      </c>
      <c r="G260" s="77">
        <v>2566.653303797864</v>
      </c>
      <c r="H260" s="77">
        <v>2746.319035063714</v>
      </c>
      <c r="K260" s="63"/>
      <c r="L260" s="63"/>
      <c r="M260" s="63"/>
      <c r="N260" s="63"/>
      <c r="O260" s="63"/>
      <c r="P260" s="63"/>
      <c r="Q260" s="63"/>
      <c r="R260" s="63"/>
      <c r="S260" s="63"/>
    </row>
    <row r="261" spans="1:19" ht="12.75">
      <c r="A261" s="77">
        <v>13150</v>
      </c>
      <c r="B261" s="75"/>
      <c r="C261" s="77">
        <v>1297.7173070086596</v>
      </c>
      <c r="D261" s="77">
        <v>1825.2654389997708</v>
      </c>
      <c r="E261" s="77">
        <v>2147.0523713146495</v>
      </c>
      <c r="F261" s="77">
        <v>2372.4928703026876</v>
      </c>
      <c r="G261" s="77">
        <v>2571.782271408113</v>
      </c>
      <c r="H261" s="77">
        <v>2751.8070304066814</v>
      </c>
      <c r="K261" s="63"/>
      <c r="L261" s="63"/>
      <c r="M261" s="63"/>
      <c r="N261" s="63"/>
      <c r="O261" s="63"/>
      <c r="P261" s="63"/>
      <c r="Q261" s="63"/>
      <c r="R261" s="63"/>
      <c r="S261" s="63"/>
    </row>
    <row r="262" spans="1:19" ht="12.75">
      <c r="A262" s="77">
        <v>13200</v>
      </c>
      <c r="B262" s="75"/>
      <c r="C262" s="77">
        <v>1299.7321745879658</v>
      </c>
      <c r="D262" s="77">
        <v>1828.9355366974796</v>
      </c>
      <c r="E262" s="77">
        <v>2151.3342898084543</v>
      </c>
      <c r="F262" s="77">
        <v>2377.224390238342</v>
      </c>
      <c r="G262" s="77">
        <v>2576.9112390183627</v>
      </c>
      <c r="H262" s="77">
        <v>2757.295025749648</v>
      </c>
      <c r="K262" s="63"/>
      <c r="L262" s="63"/>
      <c r="M262" s="63"/>
      <c r="N262" s="63"/>
      <c r="O262" s="63"/>
      <c r="P262" s="63"/>
      <c r="Q262" s="63"/>
      <c r="R262" s="63"/>
      <c r="S262" s="63"/>
    </row>
    <row r="263" spans="1:19" ht="12.75">
      <c r="A263" s="77">
        <v>13250</v>
      </c>
      <c r="B263" s="75"/>
      <c r="C263" s="77">
        <v>1301.747042167272</v>
      </c>
      <c r="D263" s="77">
        <v>1832.6056343951882</v>
      </c>
      <c r="E263" s="77">
        <v>2155.6162083022596</v>
      </c>
      <c r="F263" s="77">
        <v>2381.955910173997</v>
      </c>
      <c r="G263" s="77">
        <v>2582.0402066286124</v>
      </c>
      <c r="H263" s="77">
        <v>2762.783021092615</v>
      </c>
      <c r="K263" s="63"/>
      <c r="L263" s="63"/>
      <c r="M263" s="63"/>
      <c r="N263" s="63"/>
      <c r="O263" s="63"/>
      <c r="P263" s="63"/>
      <c r="Q263" s="63"/>
      <c r="R263" s="63"/>
      <c r="S263" s="63"/>
    </row>
    <row r="264" spans="1:19" ht="12.75">
      <c r="A264" s="77">
        <v>13300</v>
      </c>
      <c r="B264" s="75"/>
      <c r="C264" s="77">
        <v>1303.761909746578</v>
      </c>
      <c r="D264" s="77">
        <v>1836.275732092897</v>
      </c>
      <c r="E264" s="77">
        <v>2159.8981267960644</v>
      </c>
      <c r="F264" s="77">
        <v>2386.6874301096514</v>
      </c>
      <c r="G264" s="77">
        <v>2587.169174238862</v>
      </c>
      <c r="H264" s="77">
        <v>2768.271016435582</v>
      </c>
      <c r="K264" s="63"/>
      <c r="L264" s="63"/>
      <c r="M264" s="63"/>
      <c r="N264" s="63"/>
      <c r="O264" s="63"/>
      <c r="P264" s="63"/>
      <c r="Q264" s="63"/>
      <c r="R264" s="63"/>
      <c r="S264" s="63"/>
    </row>
    <row r="265" spans="1:19" ht="12.75">
      <c r="A265" s="77">
        <v>13350</v>
      </c>
      <c r="B265" s="75"/>
      <c r="C265" s="77">
        <v>1305.7767773258843</v>
      </c>
      <c r="D265" s="77">
        <v>1839.9458297906056</v>
      </c>
      <c r="E265" s="77">
        <v>2164.1800452898697</v>
      </c>
      <c r="F265" s="77">
        <v>2391.418950045306</v>
      </c>
      <c r="G265" s="77">
        <v>2592.2981418491113</v>
      </c>
      <c r="H265" s="77">
        <v>2773.7590117785494</v>
      </c>
      <c r="K265" s="63"/>
      <c r="L265" s="63"/>
      <c r="M265" s="63"/>
      <c r="N265" s="63"/>
      <c r="O265" s="63"/>
      <c r="P265" s="63"/>
      <c r="Q265" s="63"/>
      <c r="R265" s="63"/>
      <c r="S265" s="63"/>
    </row>
    <row r="266" spans="1:19" ht="12.75">
      <c r="A266" s="77">
        <v>13400</v>
      </c>
      <c r="B266" s="75"/>
      <c r="C266" s="77">
        <v>1307.7916449051904</v>
      </c>
      <c r="D266" s="77">
        <v>1843.6159274883141</v>
      </c>
      <c r="E266" s="77">
        <v>2168.4619637836745</v>
      </c>
      <c r="F266" s="77">
        <v>2396.15046998096</v>
      </c>
      <c r="G266" s="77">
        <v>2597.427109459361</v>
      </c>
      <c r="H266" s="77">
        <v>2779.247007121516</v>
      </c>
      <c r="K266" s="63"/>
      <c r="L266" s="63"/>
      <c r="M266" s="63"/>
      <c r="N266" s="63"/>
      <c r="O266" s="63"/>
      <c r="P266" s="63"/>
      <c r="Q266" s="63"/>
      <c r="R266" s="63"/>
      <c r="S266" s="63"/>
    </row>
    <row r="267" spans="1:19" ht="12.75">
      <c r="A267" s="77">
        <v>13450</v>
      </c>
      <c r="B267" s="75"/>
      <c r="C267" s="77">
        <v>1309.8065124844966</v>
      </c>
      <c r="D267" s="77">
        <v>1847.2860251860227</v>
      </c>
      <c r="E267" s="77">
        <v>2172.7438822774793</v>
      </c>
      <c r="F267" s="77">
        <v>2400.881989916615</v>
      </c>
      <c r="G267" s="77">
        <v>2602.55607706961</v>
      </c>
      <c r="H267" s="77">
        <v>2784.735002464483</v>
      </c>
      <c r="K267" s="63"/>
      <c r="L267" s="63"/>
      <c r="M267" s="63"/>
      <c r="N267" s="63"/>
      <c r="O267" s="63"/>
      <c r="P267" s="63"/>
      <c r="Q267" s="63"/>
      <c r="R267" s="63"/>
      <c r="S267" s="63"/>
    </row>
    <row r="268" spans="1:19" ht="12.75">
      <c r="A268" s="77">
        <v>13500</v>
      </c>
      <c r="B268" s="75"/>
      <c r="C268" s="77">
        <v>1311.8213800638027</v>
      </c>
      <c r="D268" s="77">
        <v>1850.9561228837313</v>
      </c>
      <c r="E268" s="77">
        <v>2177.0258007712846</v>
      </c>
      <c r="F268" s="77">
        <v>2405.6135098522695</v>
      </c>
      <c r="G268" s="77">
        <v>2607.68504467986</v>
      </c>
      <c r="H268" s="77">
        <v>2790.22299780745</v>
      </c>
      <c r="K268" s="63"/>
      <c r="L268" s="63"/>
      <c r="M268" s="63"/>
      <c r="N268" s="63"/>
      <c r="O268" s="63"/>
      <c r="P268" s="63"/>
      <c r="Q268" s="63"/>
      <c r="R268" s="63"/>
      <c r="S268" s="63"/>
    </row>
    <row r="269" spans="1:19" ht="12.75">
      <c r="A269" s="77">
        <v>13550</v>
      </c>
      <c r="B269" s="75"/>
      <c r="C269" s="77">
        <v>1313.836247643109</v>
      </c>
      <c r="D269" s="77">
        <v>1854.6262205814403</v>
      </c>
      <c r="E269" s="77">
        <v>2181.30771926509</v>
      </c>
      <c r="F269" s="77">
        <v>2410.3450297879244</v>
      </c>
      <c r="G269" s="77">
        <v>2612.8140122901095</v>
      </c>
      <c r="H269" s="77">
        <v>2795.7109931504174</v>
      </c>
      <c r="K269" s="63"/>
      <c r="L269" s="63"/>
      <c r="M269" s="63"/>
      <c r="N269" s="63"/>
      <c r="O269" s="63"/>
      <c r="P269" s="63"/>
      <c r="Q269" s="63"/>
      <c r="R269" s="63"/>
      <c r="S269" s="63"/>
    </row>
    <row r="270" spans="1:19" ht="12.75">
      <c r="A270" s="77">
        <v>13600</v>
      </c>
      <c r="B270" s="75"/>
      <c r="C270" s="77">
        <v>1315.851115222415</v>
      </c>
      <c r="D270" s="77">
        <v>1858.2963182791486</v>
      </c>
      <c r="E270" s="77">
        <v>2185.5896377588942</v>
      </c>
      <c r="F270" s="77">
        <v>2415.0765497235784</v>
      </c>
      <c r="G270" s="77">
        <v>2617.9429799003588</v>
      </c>
      <c r="H270" s="77">
        <v>2801.1989884933837</v>
      </c>
      <c r="K270" s="63"/>
      <c r="L270" s="63"/>
      <c r="M270" s="63"/>
      <c r="N270" s="63"/>
      <c r="O270" s="63"/>
      <c r="P270" s="63"/>
      <c r="Q270" s="63"/>
      <c r="R270" s="63"/>
      <c r="S270" s="63"/>
    </row>
    <row r="271" spans="1:19" ht="12.75">
      <c r="A271" s="77">
        <v>13650</v>
      </c>
      <c r="B271" s="75"/>
      <c r="C271" s="77">
        <v>1317.8659828017212</v>
      </c>
      <c r="D271" s="77">
        <v>1861.9664159768574</v>
      </c>
      <c r="E271" s="77">
        <v>2189.8715562526995</v>
      </c>
      <c r="F271" s="77">
        <v>2419.8080696592333</v>
      </c>
      <c r="G271" s="77">
        <v>2623.0719475106084</v>
      </c>
      <c r="H271" s="77">
        <v>2806.686983836351</v>
      </c>
      <c r="K271" s="63"/>
      <c r="L271" s="63"/>
      <c r="M271" s="63"/>
      <c r="N271" s="63"/>
      <c r="O271" s="63"/>
      <c r="P271" s="63"/>
      <c r="Q271" s="63"/>
      <c r="R271" s="63"/>
      <c r="S271" s="63"/>
    </row>
    <row r="272" spans="1:19" ht="12.75">
      <c r="A272" s="77">
        <v>13700</v>
      </c>
      <c r="B272" s="75"/>
      <c r="C272" s="77">
        <v>1319.8808503810274</v>
      </c>
      <c r="D272" s="77">
        <v>1865.636513674566</v>
      </c>
      <c r="E272" s="77">
        <v>2194.1534747465043</v>
      </c>
      <c r="F272" s="77">
        <v>2424.5395895948877</v>
      </c>
      <c r="G272" s="77">
        <v>2628.200915120858</v>
      </c>
      <c r="H272" s="77">
        <v>2812.174979179318</v>
      </c>
      <c r="K272" s="63"/>
      <c r="L272" s="63"/>
      <c r="M272" s="63"/>
      <c r="N272" s="63"/>
      <c r="O272" s="63"/>
      <c r="P272" s="63"/>
      <c r="Q272" s="63"/>
      <c r="R272" s="63"/>
      <c r="S272" s="63"/>
    </row>
    <row r="273" spans="1:19" ht="12.75">
      <c r="A273" s="77">
        <v>13750</v>
      </c>
      <c r="B273" s="75"/>
      <c r="C273" s="77">
        <v>1321.8957179603335</v>
      </c>
      <c r="D273" s="77">
        <v>1869.3066113722746</v>
      </c>
      <c r="E273" s="77">
        <v>2198.4353932403096</v>
      </c>
      <c r="F273" s="77">
        <v>2429.271109530542</v>
      </c>
      <c r="G273" s="77">
        <v>2633.3298827311073</v>
      </c>
      <c r="H273" s="77">
        <v>2817.662974522285</v>
      </c>
      <c r="K273" s="63"/>
      <c r="L273" s="63"/>
      <c r="M273" s="63"/>
      <c r="N273" s="63"/>
      <c r="O273" s="63"/>
      <c r="P273" s="63"/>
      <c r="Q273" s="63"/>
      <c r="R273" s="63"/>
      <c r="S273" s="63"/>
    </row>
    <row r="274" spans="1:19" ht="12.75">
      <c r="A274" s="77">
        <v>13800</v>
      </c>
      <c r="B274" s="75"/>
      <c r="C274" s="77">
        <v>1323.9105855396397</v>
      </c>
      <c r="D274" s="77">
        <v>1872.9767090699834</v>
      </c>
      <c r="E274" s="77">
        <v>2202.717311734115</v>
      </c>
      <c r="F274" s="77">
        <v>2434.002629466197</v>
      </c>
      <c r="G274" s="77">
        <v>2638.458850341357</v>
      </c>
      <c r="H274" s="77">
        <v>2823.150969865252</v>
      </c>
      <c r="K274" s="63"/>
      <c r="L274" s="63"/>
      <c r="M274" s="63"/>
      <c r="N274" s="63"/>
      <c r="O274" s="63"/>
      <c r="P274" s="63"/>
      <c r="Q274" s="63"/>
      <c r="R274" s="63"/>
      <c r="S274" s="63"/>
    </row>
    <row r="275" spans="1:19" ht="12.75">
      <c r="A275" s="77">
        <v>13850</v>
      </c>
      <c r="B275" s="75"/>
      <c r="C275" s="77">
        <v>1325.9254531189458</v>
      </c>
      <c r="D275" s="77">
        <v>1876.646806767692</v>
      </c>
      <c r="E275" s="77">
        <v>2206.9992302279197</v>
      </c>
      <c r="F275" s="77">
        <v>2438.7341494018515</v>
      </c>
      <c r="G275" s="77">
        <v>2643.5878179516067</v>
      </c>
      <c r="H275" s="77">
        <v>2828.638965208219</v>
      </c>
      <c r="K275" s="63"/>
      <c r="L275" s="63"/>
      <c r="M275" s="63"/>
      <c r="N275" s="63"/>
      <c r="O275" s="63"/>
      <c r="P275" s="63"/>
      <c r="Q275" s="63"/>
      <c r="R275" s="63"/>
      <c r="S275" s="63"/>
    </row>
    <row r="276" spans="1:19" ht="12.75">
      <c r="A276" s="77">
        <v>13900</v>
      </c>
      <c r="B276" s="75"/>
      <c r="C276" s="77">
        <v>1327.940320698252</v>
      </c>
      <c r="D276" s="77">
        <v>1880.3169044654007</v>
      </c>
      <c r="E276" s="77">
        <v>2211.2811487217245</v>
      </c>
      <c r="F276" s="77">
        <v>2443.465669337506</v>
      </c>
      <c r="G276" s="77">
        <v>2648.7167855618563</v>
      </c>
      <c r="H276" s="77">
        <v>2834.126960551186</v>
      </c>
      <c r="K276" s="63"/>
      <c r="L276" s="63"/>
      <c r="M276" s="63"/>
      <c r="N276" s="63"/>
      <c r="O276" s="63"/>
      <c r="P276" s="63"/>
      <c r="Q276" s="63"/>
      <c r="R276" s="63"/>
      <c r="S276" s="63"/>
    </row>
    <row r="277" spans="1:19" ht="12.75">
      <c r="A277" s="77">
        <v>13950</v>
      </c>
      <c r="B277" s="75"/>
      <c r="C277" s="77">
        <v>1329.9551882775581</v>
      </c>
      <c r="D277" s="77">
        <v>1883.9870021631093</v>
      </c>
      <c r="E277" s="77">
        <v>2215.5630672155294</v>
      </c>
      <c r="F277" s="77">
        <v>2448.1971892731603</v>
      </c>
      <c r="G277" s="77">
        <v>2653.8457531721056</v>
      </c>
      <c r="H277" s="77">
        <v>2839.614955894153</v>
      </c>
      <c r="K277" s="63"/>
      <c r="L277" s="63"/>
      <c r="M277" s="63"/>
      <c r="N277" s="63"/>
      <c r="O277" s="63"/>
      <c r="P277" s="63"/>
      <c r="Q277" s="63"/>
      <c r="R277" s="63"/>
      <c r="S277" s="63"/>
    </row>
    <row r="278" spans="1:19" ht="12.75">
      <c r="A278" s="77">
        <v>14000</v>
      </c>
      <c r="B278" s="75"/>
      <c r="C278" s="77">
        <v>1331.9700558568643</v>
      </c>
      <c r="D278" s="77">
        <v>1887.6570998608179</v>
      </c>
      <c r="E278" s="77">
        <v>2219.8449857093347</v>
      </c>
      <c r="F278" s="77">
        <v>2452.928709208815</v>
      </c>
      <c r="G278" s="77">
        <v>2658.974720782355</v>
      </c>
      <c r="H278" s="77">
        <v>2845.1029512371197</v>
      </c>
      <c r="K278" s="63"/>
      <c r="L278" s="63"/>
      <c r="M278" s="63"/>
      <c r="N278" s="63"/>
      <c r="O278" s="63"/>
      <c r="P278" s="63"/>
      <c r="Q278" s="63"/>
      <c r="R278" s="63"/>
      <c r="S278" s="63"/>
    </row>
    <row r="279" spans="1:19" ht="12.75">
      <c r="A279" s="77">
        <v>14050</v>
      </c>
      <c r="B279" s="75"/>
      <c r="C279" s="77">
        <v>1333.9849234361707</v>
      </c>
      <c r="D279" s="77">
        <v>1891.3271975585267</v>
      </c>
      <c r="E279" s="77">
        <v>2224.12690420314</v>
      </c>
      <c r="F279" s="77">
        <v>2457.6602291444697</v>
      </c>
      <c r="G279" s="77">
        <v>2664.103688392605</v>
      </c>
      <c r="H279" s="77">
        <v>2850.590946580087</v>
      </c>
      <c r="K279" s="63"/>
      <c r="L279" s="63"/>
      <c r="M279" s="63"/>
      <c r="N279" s="63"/>
      <c r="O279" s="63"/>
      <c r="P279" s="63"/>
      <c r="Q279" s="63"/>
      <c r="R279" s="63"/>
      <c r="S279" s="63"/>
    </row>
    <row r="280" spans="1:19" ht="12.75">
      <c r="A280" s="77">
        <v>14100</v>
      </c>
      <c r="B280" s="75"/>
      <c r="C280" s="77">
        <v>1335.9997910154766</v>
      </c>
      <c r="D280" s="77">
        <v>1894.997295256235</v>
      </c>
      <c r="E280" s="77">
        <v>2228.4088226969443</v>
      </c>
      <c r="F280" s="77">
        <v>2462.3917490801236</v>
      </c>
      <c r="G280" s="77">
        <v>2669.232656002854</v>
      </c>
      <c r="H280" s="77">
        <v>2856.0789419230537</v>
      </c>
      <c r="K280" s="63"/>
      <c r="L280" s="63"/>
      <c r="M280" s="63"/>
      <c r="N280" s="63"/>
      <c r="O280" s="63"/>
      <c r="P280" s="63"/>
      <c r="Q280" s="63"/>
      <c r="R280" s="63"/>
      <c r="S280" s="63"/>
    </row>
    <row r="281" spans="1:19" ht="12.75">
      <c r="A281" s="77">
        <v>14150</v>
      </c>
      <c r="B281" s="75"/>
      <c r="C281" s="77">
        <v>1338.014658594783</v>
      </c>
      <c r="D281" s="77">
        <v>1898.6673929539438</v>
      </c>
      <c r="E281" s="77">
        <v>2232.6907411907496</v>
      </c>
      <c r="F281" s="77">
        <v>2467.1232690157785</v>
      </c>
      <c r="G281" s="77">
        <v>2674.361623613104</v>
      </c>
      <c r="H281" s="77">
        <v>2861.566937266021</v>
      </c>
      <c r="K281" s="63"/>
      <c r="L281" s="63"/>
      <c r="M281" s="63"/>
      <c r="N281" s="63"/>
      <c r="O281" s="63"/>
      <c r="P281" s="63"/>
      <c r="Q281" s="63"/>
      <c r="R281" s="63"/>
      <c r="S281" s="63"/>
    </row>
    <row r="282" spans="1:19" ht="12.75">
      <c r="A282" s="77">
        <v>14200</v>
      </c>
      <c r="B282" s="75"/>
      <c r="C282" s="77">
        <v>1340.0295261740891</v>
      </c>
      <c r="D282" s="77">
        <v>1902.3374906516524</v>
      </c>
      <c r="E282" s="77">
        <v>2236.972659684555</v>
      </c>
      <c r="F282" s="77">
        <v>2471.854788951433</v>
      </c>
      <c r="G282" s="77">
        <v>2679.490591223353</v>
      </c>
      <c r="H282" s="77">
        <v>2867.0549326089877</v>
      </c>
      <c r="K282" s="63"/>
      <c r="L282" s="63"/>
      <c r="M282" s="63"/>
      <c r="N282" s="63"/>
      <c r="O282" s="63"/>
      <c r="P282" s="63"/>
      <c r="Q282" s="63"/>
      <c r="R282" s="63"/>
      <c r="S282" s="63"/>
    </row>
    <row r="283" spans="1:19" ht="12.75">
      <c r="A283" s="77">
        <v>14250</v>
      </c>
      <c r="B283" s="75"/>
      <c r="C283" s="77">
        <v>1342.044393753395</v>
      </c>
      <c r="D283" s="77">
        <v>1906.0075883493612</v>
      </c>
      <c r="E283" s="77">
        <v>2241.2545781783597</v>
      </c>
      <c r="F283" s="77">
        <v>2476.5863088870874</v>
      </c>
      <c r="G283" s="77">
        <v>2684.6195588336027</v>
      </c>
      <c r="H283" s="77">
        <v>2872.542927951955</v>
      </c>
      <c r="K283" s="63"/>
      <c r="L283" s="63"/>
      <c r="M283" s="63"/>
      <c r="N283" s="63"/>
      <c r="O283" s="63"/>
      <c r="P283" s="63"/>
      <c r="Q283" s="63"/>
      <c r="R283" s="63"/>
      <c r="S283" s="63"/>
    </row>
    <row r="284" spans="1:19" ht="12.75">
      <c r="A284" s="77">
        <v>14300</v>
      </c>
      <c r="B284" s="75"/>
      <c r="C284" s="77">
        <v>1344.0592613327015</v>
      </c>
      <c r="D284" s="77">
        <v>1909.67768604707</v>
      </c>
      <c r="E284" s="77">
        <v>2245.536496672165</v>
      </c>
      <c r="F284" s="77">
        <v>2481.3178288227423</v>
      </c>
      <c r="G284" s="77">
        <v>2689.7485264438524</v>
      </c>
      <c r="H284" s="77">
        <v>2878.030923294922</v>
      </c>
      <c r="K284" s="63"/>
      <c r="L284" s="63"/>
      <c r="M284" s="63"/>
      <c r="N284" s="63"/>
      <c r="O284" s="63"/>
      <c r="P284" s="63"/>
      <c r="Q284" s="63"/>
      <c r="R284" s="63"/>
      <c r="S284" s="63"/>
    </row>
    <row r="285" spans="1:19" ht="12.75">
      <c r="A285" s="77">
        <v>14350</v>
      </c>
      <c r="B285" s="75"/>
      <c r="C285" s="77">
        <v>1346.0741289120076</v>
      </c>
      <c r="D285" s="77">
        <v>1913.3477837447786</v>
      </c>
      <c r="E285" s="77">
        <v>2249.81841516597</v>
      </c>
      <c r="F285" s="77">
        <v>2486.0493487583967</v>
      </c>
      <c r="G285" s="77">
        <v>2694.877494054102</v>
      </c>
      <c r="H285" s="77">
        <v>2883.518918637889</v>
      </c>
      <c r="K285" s="63"/>
      <c r="L285" s="63"/>
      <c r="M285" s="63"/>
      <c r="N285" s="63"/>
      <c r="O285" s="63"/>
      <c r="P285" s="63"/>
      <c r="Q285" s="63"/>
      <c r="R285" s="63"/>
      <c r="S285" s="63"/>
    </row>
    <row r="286" spans="1:19" ht="12.75">
      <c r="A286" s="77">
        <v>14400</v>
      </c>
      <c r="B286" s="75"/>
      <c r="C286" s="77">
        <v>1348.0889964913138</v>
      </c>
      <c r="D286" s="77">
        <v>1917.0178814424871</v>
      </c>
      <c r="E286" s="77">
        <v>2254.1003336597746</v>
      </c>
      <c r="F286" s="77">
        <v>2490.780868694051</v>
      </c>
      <c r="G286" s="77">
        <v>2700.0064616643513</v>
      </c>
      <c r="H286" s="77">
        <v>2889.006913980856</v>
      </c>
      <c r="K286" s="63"/>
      <c r="L286" s="63"/>
      <c r="M286" s="63"/>
      <c r="N286" s="63"/>
      <c r="O286" s="63"/>
      <c r="P286" s="63"/>
      <c r="Q286" s="63"/>
      <c r="R286" s="63"/>
      <c r="S286" s="63"/>
    </row>
    <row r="287" spans="1:19" ht="12.75">
      <c r="A287" s="77">
        <v>14450</v>
      </c>
      <c r="B287" s="75"/>
      <c r="C287" s="77">
        <v>1350.10386407062</v>
      </c>
      <c r="D287" s="77">
        <v>1920.6879791401957</v>
      </c>
      <c r="E287" s="77">
        <v>2258.3822521535794</v>
      </c>
      <c r="F287" s="77">
        <v>2495.5123886297056</v>
      </c>
      <c r="G287" s="77">
        <v>2705.135429274601</v>
      </c>
      <c r="H287" s="77">
        <v>2894.494909323823</v>
      </c>
      <c r="K287" s="63"/>
      <c r="L287" s="63"/>
      <c r="M287" s="63"/>
      <c r="N287" s="63"/>
      <c r="O287" s="63"/>
      <c r="P287" s="63"/>
      <c r="Q287" s="63"/>
      <c r="R287" s="63"/>
      <c r="S287" s="63"/>
    </row>
    <row r="288" spans="1:19" ht="12.75">
      <c r="A288" s="77">
        <v>14500</v>
      </c>
      <c r="B288" s="75"/>
      <c r="C288" s="77">
        <v>1352.118731649926</v>
      </c>
      <c r="D288" s="77">
        <v>1924.3580768379043</v>
      </c>
      <c r="E288" s="77">
        <v>2262.6641706473847</v>
      </c>
      <c r="F288" s="77">
        <v>2500.2439085653605</v>
      </c>
      <c r="G288" s="77">
        <v>2710.26439688485</v>
      </c>
      <c r="H288" s="77">
        <v>2899.9829046667896</v>
      </c>
      <c r="K288" s="63"/>
      <c r="L288" s="63"/>
      <c r="M288" s="63"/>
      <c r="N288" s="63"/>
      <c r="O288" s="63"/>
      <c r="P288" s="63"/>
      <c r="Q288" s="63"/>
      <c r="R288" s="63"/>
      <c r="S288" s="63"/>
    </row>
    <row r="289" spans="1:19" ht="12.75">
      <c r="A289" s="77">
        <v>14550</v>
      </c>
      <c r="B289" s="75"/>
      <c r="C289" s="77">
        <v>1354.1335992292322</v>
      </c>
      <c r="D289" s="77">
        <v>1928.0281745356133</v>
      </c>
      <c r="E289" s="77">
        <v>2266.94608914119</v>
      </c>
      <c r="F289" s="77">
        <v>2504.975428501015</v>
      </c>
      <c r="G289" s="77">
        <v>2715.3933644951</v>
      </c>
      <c r="H289" s="77">
        <v>2905.470900009757</v>
      </c>
      <c r="K289" s="63"/>
      <c r="L289" s="63"/>
      <c r="M289" s="63"/>
      <c r="N289" s="63"/>
      <c r="O289" s="63"/>
      <c r="P289" s="63"/>
      <c r="Q289" s="63"/>
      <c r="R289" s="63"/>
      <c r="S289" s="63"/>
    </row>
    <row r="290" spans="1:19" ht="12.75">
      <c r="A290" s="77">
        <v>14600</v>
      </c>
      <c r="B290" s="75"/>
      <c r="C290" s="77">
        <v>1356.1484668085384</v>
      </c>
      <c r="D290" s="77">
        <v>1931.6982722333216</v>
      </c>
      <c r="E290" s="77">
        <v>2271.2280076349944</v>
      </c>
      <c r="F290" s="77">
        <v>2509.7069484366693</v>
      </c>
      <c r="G290" s="77">
        <v>2720.522332105349</v>
      </c>
      <c r="H290" s="77">
        <v>2910.9588953527236</v>
      </c>
      <c r="K290" s="63"/>
      <c r="L290" s="63"/>
      <c r="M290" s="63"/>
      <c r="N290" s="63"/>
      <c r="O290" s="63"/>
      <c r="P290" s="63"/>
      <c r="Q290" s="63"/>
      <c r="R290" s="63"/>
      <c r="S290" s="63"/>
    </row>
    <row r="291" spans="1:19" ht="12.75">
      <c r="A291" s="77">
        <v>14650</v>
      </c>
      <c r="B291" s="75"/>
      <c r="C291" s="77">
        <v>1358.1633343878445</v>
      </c>
      <c r="D291" s="77">
        <v>1935.3683699310304</v>
      </c>
      <c r="E291" s="77">
        <v>2275.5099261287996</v>
      </c>
      <c r="F291" s="77">
        <v>2514.4384683723238</v>
      </c>
      <c r="G291" s="77">
        <v>2725.6512997155987</v>
      </c>
      <c r="H291" s="77">
        <v>2916.446890695691</v>
      </c>
      <c r="K291" s="63"/>
      <c r="L291" s="63"/>
      <c r="M291" s="63"/>
      <c r="N291" s="63"/>
      <c r="O291" s="63"/>
      <c r="P291" s="63"/>
      <c r="Q291" s="63"/>
      <c r="R291" s="63"/>
      <c r="S291" s="63"/>
    </row>
    <row r="292" spans="1:19" ht="12.75">
      <c r="A292" s="77">
        <v>14700</v>
      </c>
      <c r="B292" s="75"/>
      <c r="C292" s="77">
        <v>1360.178201967151</v>
      </c>
      <c r="D292" s="77">
        <v>1939.0384676287392</v>
      </c>
      <c r="E292" s="77">
        <v>2279.791844622605</v>
      </c>
      <c r="F292" s="77">
        <v>2519.1699883079787</v>
      </c>
      <c r="G292" s="77">
        <v>2730.780267325849</v>
      </c>
      <c r="H292" s="77">
        <v>2921.934886038658</v>
      </c>
      <c r="K292" s="63"/>
      <c r="L292" s="63"/>
      <c r="M292" s="63"/>
      <c r="N292" s="63"/>
      <c r="O292" s="63"/>
      <c r="P292" s="63"/>
      <c r="Q292" s="63"/>
      <c r="R292" s="63"/>
      <c r="S292" s="63"/>
    </row>
    <row r="293" spans="1:19" ht="12.75">
      <c r="A293" s="77">
        <v>14750</v>
      </c>
      <c r="B293" s="75"/>
      <c r="C293" s="77">
        <v>1362.1930695464569</v>
      </c>
      <c r="D293" s="77">
        <v>1942.7085653264476</v>
      </c>
      <c r="E293" s="77">
        <v>2284.0737631164097</v>
      </c>
      <c r="F293" s="77">
        <v>2523.901508243633</v>
      </c>
      <c r="G293" s="77">
        <v>2735.909234936098</v>
      </c>
      <c r="H293" s="77">
        <v>2927.422881381625</v>
      </c>
      <c r="K293" s="63"/>
      <c r="L293" s="63"/>
      <c r="M293" s="63"/>
      <c r="N293" s="63"/>
      <c r="O293" s="63"/>
      <c r="P293" s="63"/>
      <c r="Q293" s="63"/>
      <c r="R293" s="63"/>
      <c r="S293" s="63"/>
    </row>
    <row r="294" spans="1:19" ht="12.75">
      <c r="A294" s="77">
        <v>14800</v>
      </c>
      <c r="B294" s="75"/>
      <c r="C294" s="77">
        <v>1364.2079371257632</v>
      </c>
      <c r="D294" s="77">
        <v>1946.3786630241564</v>
      </c>
      <c r="E294" s="77">
        <v>2288.355681610215</v>
      </c>
      <c r="F294" s="77">
        <v>2528.6330281792875</v>
      </c>
      <c r="G294" s="77">
        <v>2741.0382025463477</v>
      </c>
      <c r="H294" s="77">
        <v>2932.910876724592</v>
      </c>
      <c r="K294" s="63"/>
      <c r="L294" s="63"/>
      <c r="M294" s="63"/>
      <c r="N294" s="63"/>
      <c r="O294" s="63"/>
      <c r="P294" s="63"/>
      <c r="Q294" s="63"/>
      <c r="R294" s="63"/>
      <c r="S294" s="63"/>
    </row>
    <row r="295" spans="1:19" ht="12.75">
      <c r="A295" s="77">
        <v>14850</v>
      </c>
      <c r="B295" s="75"/>
      <c r="C295" s="77">
        <v>1366.2228047050694</v>
      </c>
      <c r="D295" s="77">
        <v>1950.048760721865</v>
      </c>
      <c r="E295" s="77">
        <v>2292.63760010402</v>
      </c>
      <c r="F295" s="77">
        <v>2533.3645481149424</v>
      </c>
      <c r="G295" s="77">
        <v>2746.167170156597</v>
      </c>
      <c r="H295" s="77">
        <v>2938.398872067559</v>
      </c>
      <c r="K295" s="63"/>
      <c r="L295" s="63"/>
      <c r="M295" s="63"/>
      <c r="N295" s="63"/>
      <c r="O295" s="63"/>
      <c r="P295" s="63"/>
      <c r="Q295" s="63"/>
      <c r="R295" s="63"/>
      <c r="S295" s="63"/>
    </row>
    <row r="296" spans="1:19" ht="12.75">
      <c r="A296" s="77">
        <v>14900</v>
      </c>
      <c r="B296" s="75"/>
      <c r="C296" s="77">
        <v>1368.2376722843753</v>
      </c>
      <c r="D296" s="77">
        <v>1953.7188584195737</v>
      </c>
      <c r="E296" s="77">
        <v>2296.9195185978247</v>
      </c>
      <c r="F296" s="77">
        <v>2538.096068050597</v>
      </c>
      <c r="G296" s="77">
        <v>2751.2961377668466</v>
      </c>
      <c r="H296" s="77">
        <v>2943.8868674105256</v>
      </c>
      <c r="K296" s="63"/>
      <c r="L296" s="63"/>
      <c r="M296" s="63"/>
      <c r="N296" s="63"/>
      <c r="O296" s="63"/>
      <c r="P296" s="63"/>
      <c r="Q296" s="63"/>
      <c r="R296" s="63"/>
      <c r="S296" s="63"/>
    </row>
    <row r="297" spans="1:19" ht="12.75">
      <c r="A297" s="77">
        <v>14950</v>
      </c>
      <c r="B297" s="75"/>
      <c r="C297" s="77">
        <v>1370.2525398636815</v>
      </c>
      <c r="D297" s="77">
        <v>1957.3889561172823</v>
      </c>
      <c r="E297" s="77">
        <v>2301.20143709163</v>
      </c>
      <c r="F297" s="77">
        <v>2542.8275879862513</v>
      </c>
      <c r="G297" s="77">
        <v>2756.425105377096</v>
      </c>
      <c r="H297" s="77">
        <v>2949.374862753493</v>
      </c>
      <c r="K297" s="63"/>
      <c r="L297" s="63"/>
      <c r="M297" s="63"/>
      <c r="N297" s="63"/>
      <c r="O297" s="63"/>
      <c r="P297" s="63"/>
      <c r="Q297" s="63"/>
      <c r="R297" s="63"/>
      <c r="S297" s="63"/>
    </row>
    <row r="298" spans="1:19" ht="12.75">
      <c r="A298" s="77">
        <v>15000</v>
      </c>
      <c r="B298" s="90"/>
      <c r="C298" s="77">
        <v>1372.2674074429879</v>
      </c>
      <c r="D298" s="77">
        <v>1961.059053814991</v>
      </c>
      <c r="E298" s="77">
        <v>2305.4833555854348</v>
      </c>
      <c r="F298" s="77">
        <v>2547.5591079219057</v>
      </c>
      <c r="G298" s="77">
        <v>2761.5540729873455</v>
      </c>
      <c r="H298" s="77">
        <v>2954.86285809646</v>
      </c>
      <c r="K298" s="63"/>
      <c r="L298" s="63"/>
      <c r="M298" s="63"/>
      <c r="N298" s="63"/>
      <c r="O298" s="63"/>
      <c r="P298" s="63"/>
      <c r="Q298" s="63"/>
      <c r="R298" s="63"/>
      <c r="S298" s="63"/>
    </row>
    <row r="299" spans="1:19" ht="12">
      <c r="A299" s="91"/>
      <c r="B299" s="63"/>
      <c r="C299" s="63"/>
      <c r="D299" s="63"/>
      <c r="E299" s="63"/>
      <c r="F299" s="63"/>
      <c r="G299" s="63"/>
      <c r="H299" s="63"/>
      <c r="K299" s="63"/>
      <c r="L299" s="63"/>
      <c r="M299" s="63"/>
      <c r="N299" s="63"/>
      <c r="O299" s="63"/>
      <c r="P299" s="63"/>
      <c r="Q299" s="63"/>
      <c r="R299" s="63"/>
      <c r="S299" s="63"/>
    </row>
  </sheetData>
  <sheetProtection sheet="1" objects="1" scenarios="1"/>
  <printOptions/>
  <pageMargins left="0.76" right="0.17" top="1.59" bottom="1.22" header="0.5" footer="0.5"/>
  <pageSetup horizontalDpi="600" verticalDpi="600" orientation="portrait" r:id="rId1"/>
  <headerFooter alignWithMargins="0">
    <oddFooter>&amp;CPage &amp;P of &amp;N</oddFooter>
  </headerFooter>
</worksheet>
</file>

<file path=xl/worksheets/sheet8.xml><?xml version="1.0" encoding="utf-8"?>
<worksheet xmlns="http://schemas.openxmlformats.org/spreadsheetml/2006/main" xmlns:r="http://schemas.openxmlformats.org/officeDocument/2006/relationships">
  <sheetPr codeName="Sheet2">
    <pageSetUpPr fitToPage="1"/>
  </sheetPr>
  <dimension ref="A1:L46"/>
  <sheetViews>
    <sheetView workbookViewId="0" topLeftCell="A1">
      <pane ySplit="7" topLeftCell="BM15" activePane="bottomLeft" state="frozen"/>
      <selection pane="topLeft" activeCell="A2" sqref="A2"/>
      <selection pane="bottomLeft" activeCell="A1" sqref="A1"/>
    </sheetView>
  </sheetViews>
  <sheetFormatPr defaultColWidth="9.140625" defaultRowHeight="12.75"/>
  <cols>
    <col min="1" max="1" width="10.8515625" style="0" customWidth="1"/>
    <col min="2" max="2" width="7.28125" style="92" customWidth="1"/>
    <col min="3" max="3" width="2.8515625" style="93" customWidth="1"/>
    <col min="4" max="4" width="7.28125" style="94" customWidth="1"/>
    <col min="5" max="6" width="11.28125" style="0" customWidth="1"/>
    <col min="7" max="9" width="13.421875" style="0" customWidth="1"/>
  </cols>
  <sheetData>
    <row r="1" spans="1:12" ht="12.75">
      <c r="A1" t="s">
        <v>38</v>
      </c>
      <c r="G1" s="92" t="s">
        <v>39</v>
      </c>
      <c r="H1" s="95">
        <v>39600</v>
      </c>
      <c r="I1" s="96"/>
      <c r="J1" s="97"/>
      <c r="K1" s="93"/>
      <c r="L1" s="97"/>
    </row>
    <row r="2" spans="7:9" ht="12.75" customHeight="1">
      <c r="G2" s="92"/>
      <c r="H2" s="95"/>
      <c r="I2" s="96"/>
    </row>
    <row r="4" spans="1:9" ht="12.75">
      <c r="A4" s="98" t="s">
        <v>40</v>
      </c>
      <c r="B4" s="99"/>
      <c r="C4" s="100"/>
      <c r="D4" s="101"/>
      <c r="E4" s="102"/>
      <c r="F4" s="103" t="s">
        <v>92</v>
      </c>
      <c r="G4" s="104"/>
      <c r="H4" s="104"/>
      <c r="I4" s="102"/>
    </row>
    <row r="5" spans="1:9" ht="12.75">
      <c r="A5" s="105" t="s">
        <v>41</v>
      </c>
      <c r="B5" s="106"/>
      <c r="C5" s="107"/>
      <c r="D5" s="108"/>
      <c r="E5" s="109"/>
      <c r="F5" s="110" t="s">
        <v>42</v>
      </c>
      <c r="G5" s="111"/>
      <c r="H5" s="111"/>
      <c r="I5" s="109"/>
    </row>
    <row r="6" spans="1:9" ht="12.75">
      <c r="A6" s="112" t="s">
        <v>43</v>
      </c>
      <c r="B6" s="106"/>
      <c r="C6" s="107"/>
      <c r="D6" s="108"/>
      <c r="E6" s="109"/>
      <c r="F6" s="113">
        <v>1</v>
      </c>
      <c r="G6" s="114">
        <v>2</v>
      </c>
      <c r="H6" s="114">
        <v>3</v>
      </c>
      <c r="I6" s="115" t="s">
        <v>44</v>
      </c>
    </row>
    <row r="7" spans="1:9" ht="18.75" customHeight="1">
      <c r="A7" s="112" t="s">
        <v>45</v>
      </c>
      <c r="B7" s="106"/>
      <c r="C7" s="107"/>
      <c r="D7" s="108"/>
      <c r="E7" s="109"/>
      <c r="F7" s="116" t="s">
        <v>46</v>
      </c>
      <c r="G7" s="107"/>
      <c r="H7" s="107"/>
      <c r="I7" s="117"/>
    </row>
    <row r="8" spans="1:9" ht="12.75">
      <c r="A8" s="118"/>
      <c r="B8" s="119">
        <v>0</v>
      </c>
      <c r="C8" s="120" t="s">
        <v>47</v>
      </c>
      <c r="D8" s="119">
        <v>850</v>
      </c>
      <c r="E8" s="121"/>
      <c r="F8" s="122">
        <v>0</v>
      </c>
      <c r="G8" s="123">
        <v>0</v>
      </c>
      <c r="H8" s="123">
        <v>0</v>
      </c>
      <c r="I8" s="124">
        <v>0</v>
      </c>
    </row>
    <row r="9" spans="1:9" ht="12.75">
      <c r="A9" s="118"/>
      <c r="B9" s="119">
        <v>851</v>
      </c>
      <c r="C9" s="120" t="s">
        <v>47</v>
      </c>
      <c r="D9" s="119">
        <v>900</v>
      </c>
      <c r="E9" s="121"/>
      <c r="F9" s="122">
        <v>6</v>
      </c>
      <c r="G9" s="123">
        <v>12</v>
      </c>
      <c r="H9" s="123">
        <v>18</v>
      </c>
      <c r="I9" s="124">
        <v>24</v>
      </c>
    </row>
    <row r="10" spans="1:9" ht="12.75">
      <c r="A10" s="118"/>
      <c r="B10" s="119">
        <v>901</v>
      </c>
      <c r="C10" s="120" t="s">
        <v>47</v>
      </c>
      <c r="D10" s="119">
        <v>950</v>
      </c>
      <c r="E10" s="121"/>
      <c r="F10" s="122">
        <v>12</v>
      </c>
      <c r="G10" s="123">
        <v>22</v>
      </c>
      <c r="H10" s="123">
        <v>31</v>
      </c>
      <c r="I10" s="124">
        <v>41</v>
      </c>
    </row>
    <row r="11" spans="1:9" ht="12.75">
      <c r="A11" s="118"/>
      <c r="B11" s="119">
        <v>951</v>
      </c>
      <c r="C11" s="120" t="s">
        <v>47</v>
      </c>
      <c r="D11" s="119">
        <v>1000</v>
      </c>
      <c r="E11" s="121"/>
      <c r="F11" s="122">
        <v>19</v>
      </c>
      <c r="G11" s="123">
        <v>32</v>
      </c>
      <c r="H11" s="123">
        <v>45</v>
      </c>
      <c r="I11" s="124">
        <v>58</v>
      </c>
    </row>
    <row r="12" spans="1:9" ht="12.75">
      <c r="A12" s="118"/>
      <c r="B12" s="119">
        <v>1001</v>
      </c>
      <c r="C12" s="120" t="s">
        <v>47</v>
      </c>
      <c r="D12" s="119">
        <v>1050</v>
      </c>
      <c r="E12" s="121"/>
      <c r="F12" s="122">
        <v>27</v>
      </c>
      <c r="G12" s="123">
        <v>45</v>
      </c>
      <c r="H12" s="123">
        <v>62</v>
      </c>
      <c r="I12" s="124">
        <v>80</v>
      </c>
    </row>
    <row r="13" spans="1:9" ht="12.75">
      <c r="A13" s="118"/>
      <c r="B13" s="119">
        <v>1051</v>
      </c>
      <c r="C13" s="120" t="s">
        <v>47</v>
      </c>
      <c r="D13" s="119">
        <v>1100</v>
      </c>
      <c r="E13" s="121"/>
      <c r="F13" s="122">
        <v>35</v>
      </c>
      <c r="G13" s="123">
        <v>55</v>
      </c>
      <c r="H13" s="123">
        <v>75</v>
      </c>
      <c r="I13" s="124">
        <v>95</v>
      </c>
    </row>
    <row r="14" spans="1:9" ht="12.75">
      <c r="A14" s="118"/>
      <c r="B14" s="119">
        <v>1101</v>
      </c>
      <c r="C14" s="120" t="s">
        <v>47</v>
      </c>
      <c r="D14" s="119">
        <v>1150</v>
      </c>
      <c r="E14" s="121"/>
      <c r="F14" s="122">
        <v>44</v>
      </c>
      <c r="G14" s="123">
        <v>68</v>
      </c>
      <c r="H14" s="123">
        <v>91</v>
      </c>
      <c r="I14" s="124">
        <v>115</v>
      </c>
    </row>
    <row r="15" spans="1:9" ht="12.75">
      <c r="A15" s="118"/>
      <c r="B15" s="119">
        <v>1151</v>
      </c>
      <c r="C15" s="120" t="s">
        <v>47</v>
      </c>
      <c r="D15" s="119">
        <v>1200</v>
      </c>
      <c r="E15" s="121"/>
      <c r="F15" s="122">
        <v>54</v>
      </c>
      <c r="G15" s="123">
        <v>81</v>
      </c>
      <c r="H15" s="123">
        <v>108</v>
      </c>
      <c r="I15" s="124">
        <v>135</v>
      </c>
    </row>
    <row r="16" spans="1:9" ht="12.75">
      <c r="A16" s="118"/>
      <c r="B16" s="119">
        <v>1201</v>
      </c>
      <c r="C16" s="120" t="s">
        <v>47</v>
      </c>
      <c r="D16" s="119">
        <v>1250</v>
      </c>
      <c r="E16" s="121"/>
      <c r="F16" s="122">
        <v>65</v>
      </c>
      <c r="G16" s="123">
        <v>95</v>
      </c>
      <c r="H16" s="123">
        <v>125</v>
      </c>
      <c r="I16" s="124">
        <v>155</v>
      </c>
    </row>
    <row r="17" spans="1:9" ht="12.75">
      <c r="A17" s="118"/>
      <c r="B17" s="119">
        <v>1251</v>
      </c>
      <c r="C17" s="120" t="s">
        <v>47</v>
      </c>
      <c r="D17" s="119">
        <v>1300</v>
      </c>
      <c r="E17" s="121"/>
      <c r="F17" s="122">
        <v>65</v>
      </c>
      <c r="G17" s="123">
        <v>95</v>
      </c>
      <c r="H17" s="123">
        <v>125</v>
      </c>
      <c r="I17" s="124">
        <v>155</v>
      </c>
    </row>
    <row r="18" spans="1:9" ht="12.75">
      <c r="A18" s="118"/>
      <c r="B18" s="119">
        <v>1301</v>
      </c>
      <c r="C18" s="120" t="s">
        <v>47</v>
      </c>
      <c r="D18" s="119">
        <v>1350</v>
      </c>
      <c r="E18" s="121"/>
      <c r="F18" s="122">
        <v>77</v>
      </c>
      <c r="G18" s="123">
        <v>107</v>
      </c>
      <c r="H18" s="123">
        <v>137</v>
      </c>
      <c r="I18" s="124">
        <v>167</v>
      </c>
    </row>
    <row r="19" spans="1:9" ht="12.75">
      <c r="A19" s="118"/>
      <c r="B19" s="119">
        <v>1351</v>
      </c>
      <c r="C19" s="120" t="s">
        <v>47</v>
      </c>
      <c r="D19" s="119">
        <v>1400</v>
      </c>
      <c r="E19" s="121"/>
      <c r="F19" s="122">
        <v>90</v>
      </c>
      <c r="G19" s="123">
        <v>120</v>
      </c>
      <c r="H19" s="123">
        <v>150</v>
      </c>
      <c r="I19" s="124">
        <v>180</v>
      </c>
    </row>
    <row r="20" spans="1:9" ht="12.75">
      <c r="A20" s="118"/>
      <c r="B20" s="119">
        <v>1401</v>
      </c>
      <c r="C20" s="120" t="s">
        <v>47</v>
      </c>
      <c r="D20" s="119">
        <v>1450</v>
      </c>
      <c r="E20" s="121"/>
      <c r="F20" s="122">
        <v>105</v>
      </c>
      <c r="G20" s="123">
        <v>135</v>
      </c>
      <c r="H20" s="123">
        <v>165</v>
      </c>
      <c r="I20" s="124">
        <v>195</v>
      </c>
    </row>
    <row r="21" spans="1:9" ht="12.75">
      <c r="A21" s="118"/>
      <c r="B21" s="119">
        <v>1451</v>
      </c>
      <c r="C21" s="120" t="s">
        <v>47</v>
      </c>
      <c r="D21" s="119">
        <v>1500</v>
      </c>
      <c r="E21" s="121"/>
      <c r="F21" s="122">
        <v>105</v>
      </c>
      <c r="G21" s="123">
        <v>135</v>
      </c>
      <c r="H21" s="123">
        <v>165</v>
      </c>
      <c r="I21" s="124">
        <v>195</v>
      </c>
    </row>
    <row r="22" spans="1:9" ht="12.75">
      <c r="A22" s="118"/>
      <c r="B22" s="119">
        <v>1501</v>
      </c>
      <c r="C22" s="120" t="s">
        <v>47</v>
      </c>
      <c r="D22" s="119">
        <v>1575</v>
      </c>
      <c r="E22" s="121"/>
      <c r="F22" s="122">
        <v>120</v>
      </c>
      <c r="G22" s="123">
        <v>150</v>
      </c>
      <c r="H22" s="123">
        <v>180</v>
      </c>
      <c r="I22" s="124">
        <v>210</v>
      </c>
    </row>
    <row r="23" spans="1:9" ht="12.75">
      <c r="A23" s="118"/>
      <c r="B23" s="119">
        <v>1576</v>
      </c>
      <c r="C23" s="120" t="s">
        <v>47</v>
      </c>
      <c r="D23" s="119">
        <v>1650</v>
      </c>
      <c r="E23" s="121"/>
      <c r="F23" s="122">
        <v>132</v>
      </c>
      <c r="G23" s="123">
        <v>162</v>
      </c>
      <c r="H23" s="123">
        <v>192</v>
      </c>
      <c r="I23" s="124">
        <v>222</v>
      </c>
    </row>
    <row r="24" spans="1:9" ht="12.75">
      <c r="A24" s="118"/>
      <c r="B24" s="119">
        <v>1651</v>
      </c>
      <c r="C24" s="120" t="s">
        <v>47</v>
      </c>
      <c r="D24" s="119">
        <v>1725</v>
      </c>
      <c r="E24" s="121"/>
      <c r="F24" s="122">
        <v>139</v>
      </c>
      <c r="G24" s="123">
        <v>169</v>
      </c>
      <c r="H24" s="123">
        <v>199</v>
      </c>
      <c r="I24" s="124">
        <v>229</v>
      </c>
    </row>
    <row r="25" spans="1:9" ht="12.75">
      <c r="A25" s="118"/>
      <c r="B25" s="119">
        <v>1726</v>
      </c>
      <c r="C25" s="120" t="s">
        <v>47</v>
      </c>
      <c r="D25" s="119">
        <v>1800</v>
      </c>
      <c r="E25" s="121"/>
      <c r="F25" s="122">
        <v>146</v>
      </c>
      <c r="G25" s="123">
        <v>176</v>
      </c>
      <c r="H25" s="123">
        <v>206</v>
      </c>
      <c r="I25" s="124">
        <v>236</v>
      </c>
    </row>
    <row r="26" spans="1:9" ht="12.75">
      <c r="A26" s="118"/>
      <c r="B26" s="119">
        <v>1801</v>
      </c>
      <c r="C26" s="120" t="s">
        <v>47</v>
      </c>
      <c r="D26" s="119">
        <v>1875</v>
      </c>
      <c r="E26" s="121"/>
      <c r="F26" s="122">
        <v>154</v>
      </c>
      <c r="G26" s="123">
        <v>184</v>
      </c>
      <c r="H26" s="123">
        <v>214</v>
      </c>
      <c r="I26" s="124">
        <v>244</v>
      </c>
    </row>
    <row r="27" spans="1:9" ht="12.75">
      <c r="A27" s="118"/>
      <c r="B27" s="119">
        <v>1876</v>
      </c>
      <c r="C27" s="120" t="s">
        <v>47</v>
      </c>
      <c r="D27" s="119">
        <v>1950</v>
      </c>
      <c r="E27" s="121"/>
      <c r="F27" s="122">
        <v>154</v>
      </c>
      <c r="G27" s="123">
        <v>184</v>
      </c>
      <c r="H27" s="123">
        <v>214</v>
      </c>
      <c r="I27" s="124">
        <v>244</v>
      </c>
    </row>
    <row r="28" spans="1:9" ht="12.75">
      <c r="A28" s="118"/>
      <c r="B28" s="119">
        <v>1951</v>
      </c>
      <c r="C28" s="120" t="s">
        <v>47</v>
      </c>
      <c r="D28" s="119">
        <v>2025</v>
      </c>
      <c r="E28" s="121"/>
      <c r="F28" s="125">
        <v>162</v>
      </c>
      <c r="G28" s="123">
        <v>192</v>
      </c>
      <c r="H28" s="123">
        <v>222</v>
      </c>
      <c r="I28" s="124">
        <v>252</v>
      </c>
    </row>
    <row r="29" spans="1:9" ht="12.75">
      <c r="A29" s="118"/>
      <c r="B29" s="119">
        <v>2026</v>
      </c>
      <c r="C29" s="120" t="s">
        <v>47</v>
      </c>
      <c r="D29" s="119">
        <v>2125</v>
      </c>
      <c r="E29" s="121"/>
      <c r="F29" s="125">
        <v>170</v>
      </c>
      <c r="G29" s="123">
        <v>200</v>
      </c>
      <c r="H29" s="123">
        <v>230</v>
      </c>
      <c r="I29" s="124">
        <v>260</v>
      </c>
    </row>
    <row r="30" spans="1:9" ht="12.75">
      <c r="A30" s="118"/>
      <c r="B30" s="119">
        <v>2126</v>
      </c>
      <c r="C30" s="120" t="s">
        <v>47</v>
      </c>
      <c r="D30" s="119">
        <v>2225</v>
      </c>
      <c r="E30" s="121"/>
      <c r="F30" s="125">
        <v>179</v>
      </c>
      <c r="G30" s="123">
        <v>209</v>
      </c>
      <c r="H30" s="123">
        <v>239</v>
      </c>
      <c r="I30" s="124">
        <v>269</v>
      </c>
    </row>
    <row r="31" spans="1:9" ht="12.75">
      <c r="A31" s="118"/>
      <c r="B31" s="119">
        <v>2226</v>
      </c>
      <c r="C31" s="120" t="s">
        <v>47</v>
      </c>
      <c r="D31" s="119">
        <v>2325</v>
      </c>
      <c r="E31" s="121"/>
      <c r="F31" s="125">
        <v>189</v>
      </c>
      <c r="G31" s="123">
        <v>219</v>
      </c>
      <c r="H31" s="123">
        <v>249</v>
      </c>
      <c r="I31" s="124">
        <v>279</v>
      </c>
    </row>
    <row r="32" spans="1:9" ht="12.75">
      <c r="A32" s="118"/>
      <c r="B32" s="119">
        <v>2326</v>
      </c>
      <c r="C32" s="120" t="s">
        <v>47</v>
      </c>
      <c r="D32" s="119">
        <v>2425</v>
      </c>
      <c r="E32" s="121"/>
      <c r="F32" s="125">
        <v>189</v>
      </c>
      <c r="G32" s="123">
        <v>226</v>
      </c>
      <c r="H32" s="123">
        <v>256</v>
      </c>
      <c r="I32" s="124">
        <v>287</v>
      </c>
    </row>
    <row r="33" spans="1:9" ht="12.75">
      <c r="A33" s="118"/>
      <c r="B33" s="119">
        <v>2426</v>
      </c>
      <c r="C33" s="120" t="s">
        <v>47</v>
      </c>
      <c r="D33" s="119">
        <v>2525</v>
      </c>
      <c r="E33" s="121"/>
      <c r="F33" s="125" t="s">
        <v>48</v>
      </c>
      <c r="G33" s="126">
        <v>226</v>
      </c>
      <c r="H33" s="123">
        <v>256</v>
      </c>
      <c r="I33" s="124">
        <v>287</v>
      </c>
    </row>
    <row r="34" spans="1:9" ht="12.75">
      <c r="A34" s="118"/>
      <c r="B34" s="119">
        <v>2526</v>
      </c>
      <c r="C34" s="120" t="s">
        <v>47</v>
      </c>
      <c r="D34" s="119">
        <v>2625</v>
      </c>
      <c r="E34" s="121"/>
      <c r="F34" s="125" t="s">
        <v>48</v>
      </c>
      <c r="G34" s="126">
        <v>237</v>
      </c>
      <c r="H34" s="123">
        <v>270</v>
      </c>
      <c r="I34" s="124">
        <v>302</v>
      </c>
    </row>
    <row r="35" spans="1:9" ht="12.75">
      <c r="A35" s="118"/>
      <c r="B35" s="119">
        <v>2626</v>
      </c>
      <c r="C35" s="120" t="s">
        <v>47</v>
      </c>
      <c r="D35" s="119">
        <v>2725</v>
      </c>
      <c r="E35" s="121"/>
      <c r="F35" s="125" t="s">
        <v>48</v>
      </c>
      <c r="G35" s="126">
        <v>250</v>
      </c>
      <c r="H35" s="123">
        <v>284</v>
      </c>
      <c r="I35" s="124">
        <v>318</v>
      </c>
    </row>
    <row r="36" spans="1:9" ht="12.75">
      <c r="A36" s="118"/>
      <c r="B36" s="119">
        <v>2726</v>
      </c>
      <c r="C36" s="120" t="s">
        <v>47</v>
      </c>
      <c r="D36" s="119">
        <v>2825</v>
      </c>
      <c r="E36" s="121"/>
      <c r="F36" s="125" t="s">
        <v>48</v>
      </c>
      <c r="G36" s="127">
        <v>263</v>
      </c>
      <c r="H36" s="123">
        <v>299</v>
      </c>
      <c r="I36" s="124">
        <v>335</v>
      </c>
    </row>
    <row r="37" spans="1:9" ht="12.75">
      <c r="A37" s="118"/>
      <c r="B37" s="119">
        <v>2826</v>
      </c>
      <c r="C37" s="120" t="s">
        <v>47</v>
      </c>
      <c r="D37" s="119">
        <v>2925</v>
      </c>
      <c r="E37" s="121"/>
      <c r="F37" s="125" t="s">
        <v>48</v>
      </c>
      <c r="G37" s="127">
        <v>263</v>
      </c>
      <c r="H37" s="123">
        <v>299</v>
      </c>
      <c r="I37" s="124">
        <v>335</v>
      </c>
    </row>
    <row r="38" spans="1:9" ht="12.75">
      <c r="A38" s="118"/>
      <c r="B38" s="119">
        <v>2926</v>
      </c>
      <c r="C38" s="120" t="s">
        <v>47</v>
      </c>
      <c r="D38" s="119">
        <v>3025</v>
      </c>
      <c r="E38" s="121"/>
      <c r="F38" s="125" t="s">
        <v>48</v>
      </c>
      <c r="G38" s="127" t="s">
        <v>48</v>
      </c>
      <c r="H38" s="126">
        <v>314</v>
      </c>
      <c r="I38" s="124">
        <v>352</v>
      </c>
    </row>
    <row r="39" spans="1:9" ht="12.75">
      <c r="A39" s="118"/>
      <c r="B39" s="119">
        <v>3026</v>
      </c>
      <c r="C39" s="120" t="s">
        <v>47</v>
      </c>
      <c r="D39" s="119">
        <v>3125</v>
      </c>
      <c r="E39" s="121"/>
      <c r="F39" s="125" t="s">
        <v>48</v>
      </c>
      <c r="G39" s="127" t="s">
        <v>48</v>
      </c>
      <c r="H39" s="126">
        <v>314</v>
      </c>
      <c r="I39" s="124">
        <v>352</v>
      </c>
    </row>
    <row r="40" spans="1:9" ht="12.75">
      <c r="A40" s="118"/>
      <c r="B40" s="119">
        <v>3126</v>
      </c>
      <c r="C40" s="120" t="s">
        <v>47</v>
      </c>
      <c r="D40" s="119">
        <v>3225</v>
      </c>
      <c r="E40" s="121"/>
      <c r="F40" s="125" t="s">
        <v>48</v>
      </c>
      <c r="G40" s="127" t="s">
        <v>48</v>
      </c>
      <c r="H40" s="126">
        <v>331</v>
      </c>
      <c r="I40" s="124">
        <v>370</v>
      </c>
    </row>
    <row r="41" spans="1:9" ht="12.75">
      <c r="A41" s="118"/>
      <c r="B41" s="119">
        <v>3226</v>
      </c>
      <c r="C41" s="120" t="s">
        <v>47</v>
      </c>
      <c r="D41" s="119">
        <v>3325</v>
      </c>
      <c r="E41" s="121"/>
      <c r="F41" s="125" t="s">
        <v>48</v>
      </c>
      <c r="G41" s="127" t="s">
        <v>48</v>
      </c>
      <c r="H41" s="126">
        <v>348</v>
      </c>
      <c r="I41" s="124">
        <v>390</v>
      </c>
    </row>
    <row r="42" spans="1:9" ht="12.75">
      <c r="A42" s="118"/>
      <c r="B42" s="119">
        <v>3326</v>
      </c>
      <c r="C42" s="120" t="s">
        <v>47</v>
      </c>
      <c r="D42" s="119">
        <v>3425</v>
      </c>
      <c r="E42" s="121"/>
      <c r="F42" s="125" t="s">
        <v>48</v>
      </c>
      <c r="G42" s="127" t="s">
        <v>48</v>
      </c>
      <c r="H42" s="126">
        <v>348</v>
      </c>
      <c r="I42" s="124">
        <v>390</v>
      </c>
    </row>
    <row r="43" spans="1:9" ht="12.75">
      <c r="A43" s="118"/>
      <c r="B43" s="119">
        <v>3426</v>
      </c>
      <c r="C43" s="120" t="s">
        <v>47</v>
      </c>
      <c r="D43" s="119">
        <v>3525</v>
      </c>
      <c r="E43" s="121"/>
      <c r="F43" s="125" t="s">
        <v>48</v>
      </c>
      <c r="G43" s="127" t="s">
        <v>48</v>
      </c>
      <c r="H43" s="126">
        <v>366</v>
      </c>
      <c r="I43" s="128">
        <v>410</v>
      </c>
    </row>
    <row r="44" spans="1:9" ht="12.75">
      <c r="A44" s="118"/>
      <c r="B44" s="119">
        <v>3526</v>
      </c>
      <c r="C44" s="120" t="s">
        <v>47</v>
      </c>
      <c r="D44" s="119">
        <v>3625</v>
      </c>
      <c r="E44" s="121"/>
      <c r="F44" s="125" t="s">
        <v>48</v>
      </c>
      <c r="G44" s="126" t="s">
        <v>48</v>
      </c>
      <c r="H44" s="126">
        <v>366</v>
      </c>
      <c r="I44" s="128">
        <v>410</v>
      </c>
    </row>
    <row r="45" spans="1:9" ht="12.75">
      <c r="A45" s="118"/>
      <c r="B45" s="119">
        <v>3626</v>
      </c>
      <c r="C45" s="129" t="s">
        <v>49</v>
      </c>
      <c r="D45" s="119"/>
      <c r="E45" s="121"/>
      <c r="F45" s="130" t="s">
        <v>48</v>
      </c>
      <c r="G45" s="130" t="s">
        <v>48</v>
      </c>
      <c r="H45" s="130" t="s">
        <v>48</v>
      </c>
      <c r="I45" s="131" t="s">
        <v>48</v>
      </c>
    </row>
    <row r="46" spans="1:9" ht="12.75">
      <c r="A46" s="118"/>
      <c r="B46" s="119"/>
      <c r="C46" s="129"/>
      <c r="D46" s="119"/>
      <c r="E46" s="121"/>
      <c r="F46" s="132" t="s">
        <v>50</v>
      </c>
      <c r="G46" s="133"/>
      <c r="H46" s="133"/>
      <c r="I46" s="134"/>
    </row>
  </sheetData>
  <sheetProtection sheet="1" objects="1" scenarios="1"/>
  <printOptions/>
  <pageMargins left="0.75" right="0.75" top="1" bottom="1" header="0.5" footer="0.5"/>
  <pageSetup fitToHeight="1" fitToWidth="1" horizontalDpi="600" verticalDpi="600" orientation="portrait" scale="99" r:id="rId1"/>
  <headerFooter alignWithMargins="0">
    <oddFooter>&amp;CPage &amp;P of &amp;N</oddFooter>
  </headerFooter>
</worksheet>
</file>

<file path=xl/worksheets/sheet9.xml><?xml version="1.0" encoding="utf-8"?>
<worksheet xmlns="http://schemas.openxmlformats.org/spreadsheetml/2006/main" xmlns:r="http://schemas.openxmlformats.org/officeDocument/2006/relationships">
  <sheetPr codeName="Sheet10"/>
  <dimension ref="A1:N11"/>
  <sheetViews>
    <sheetView workbookViewId="0" topLeftCell="A1">
      <selection activeCell="D6" sqref="D6:F6"/>
    </sheetView>
  </sheetViews>
  <sheetFormatPr defaultColWidth="9.140625" defaultRowHeight="12.75"/>
  <cols>
    <col min="2" max="2" width="18.8515625" style="0" customWidth="1"/>
    <col min="3" max="3" width="14.8515625" style="0" customWidth="1"/>
    <col min="4" max="4" width="12.28125" style="0" customWidth="1"/>
    <col min="5" max="5" width="13.8515625" style="0" customWidth="1"/>
    <col min="6" max="6" width="13.140625" style="0" customWidth="1"/>
    <col min="8" max="8" width="9.140625" style="0" hidden="1" customWidth="1"/>
    <col min="9" max="9" width="0" style="0" hidden="1" customWidth="1"/>
  </cols>
  <sheetData>
    <row r="1" spans="1:14" ht="21.75" customHeight="1" thickBot="1" thickTop="1">
      <c r="A1" s="488" t="s">
        <v>53</v>
      </c>
      <c r="B1" s="489"/>
      <c r="C1" s="489"/>
      <c r="D1" s="489"/>
      <c r="E1" s="489"/>
      <c r="F1" s="490"/>
      <c r="G1" s="2"/>
      <c r="H1" s="2"/>
      <c r="I1" s="2"/>
      <c r="J1" s="2"/>
      <c r="K1" s="2"/>
      <c r="L1" s="2"/>
      <c r="M1" s="2"/>
      <c r="N1" s="2"/>
    </row>
    <row r="2" spans="1:6" ht="65.25" customHeight="1" thickBot="1" thickTop="1">
      <c r="A2" s="492" t="s">
        <v>301</v>
      </c>
      <c r="B2" s="486"/>
      <c r="C2" s="486"/>
      <c r="D2" s="486"/>
      <c r="E2" s="486"/>
      <c r="F2" s="487"/>
    </row>
    <row r="3" spans="1:14" ht="25.5" customHeight="1" thickTop="1">
      <c r="A3" s="217" t="s">
        <v>7</v>
      </c>
      <c r="B3" s="464" t="s">
        <v>7</v>
      </c>
      <c r="C3" s="465"/>
      <c r="D3" s="218" t="s">
        <v>5</v>
      </c>
      <c r="E3" s="218" t="s">
        <v>6</v>
      </c>
      <c r="F3" s="219" t="s">
        <v>74</v>
      </c>
      <c r="G3" s="2"/>
      <c r="H3" s="2"/>
      <c r="I3" s="2"/>
      <c r="J3" s="2"/>
      <c r="K3" s="2"/>
      <c r="L3" s="2"/>
      <c r="M3" s="2"/>
      <c r="N3" s="2"/>
    </row>
    <row r="4" spans="1:14" ht="45.75" customHeight="1">
      <c r="A4" s="141"/>
      <c r="B4" s="440" t="s">
        <v>79</v>
      </c>
      <c r="C4" s="491"/>
      <c r="D4" s="20">
        <f>'Insurance Premium Calculator'!B3</f>
        <v>0</v>
      </c>
      <c r="E4" s="20">
        <f>'Insurance Premium Calculator'!C3</f>
        <v>0</v>
      </c>
      <c r="F4" s="152">
        <f>'Insurance Premium Calculator'!D3</f>
        <v>0</v>
      </c>
      <c r="G4" s="2"/>
      <c r="H4" s="2"/>
      <c r="I4" s="2"/>
      <c r="J4" s="2"/>
      <c r="K4" s="2"/>
      <c r="L4" s="2"/>
      <c r="M4" s="2"/>
      <c r="N4" s="2"/>
    </row>
    <row r="5" spans="1:14" ht="34.5" customHeight="1">
      <c r="A5" s="141"/>
      <c r="B5" s="440" t="s">
        <v>80</v>
      </c>
      <c r="C5" s="491"/>
      <c r="D5" s="20">
        <f>'Insurance Premium Calculator'!B4</f>
        <v>0</v>
      </c>
      <c r="E5" s="20">
        <f>'Insurance Premium Calculator'!C4</f>
        <v>0</v>
      </c>
      <c r="F5" s="152">
        <f>'Insurance Premium Calculator'!D4</f>
        <v>0</v>
      </c>
      <c r="G5" s="2"/>
      <c r="H5" s="2"/>
      <c r="I5" s="2"/>
      <c r="J5" s="2"/>
      <c r="K5" s="2"/>
      <c r="L5" s="2"/>
      <c r="M5" s="2"/>
      <c r="N5" s="2"/>
    </row>
    <row r="6" spans="1:14" ht="33.75" customHeight="1">
      <c r="A6" s="141"/>
      <c r="B6" s="440" t="s">
        <v>81</v>
      </c>
      <c r="C6" s="491"/>
      <c r="D6" s="42">
        <f>'Insurance Premium Calculator'!B5</f>
        <v>0</v>
      </c>
      <c r="E6" s="42">
        <f>'Insurance Premium Calculator'!C5</f>
        <v>0</v>
      </c>
      <c r="F6" s="154">
        <f>'Insurance Premium Calculator'!D5</f>
        <v>0</v>
      </c>
      <c r="G6" s="2"/>
      <c r="H6" s="2"/>
      <c r="I6" s="2"/>
      <c r="J6" s="2"/>
      <c r="K6" s="2"/>
      <c r="L6" s="2"/>
      <c r="M6" s="2"/>
      <c r="N6" s="2"/>
    </row>
    <row r="7" spans="1:14" ht="42.75" customHeight="1">
      <c r="A7" s="141"/>
      <c r="B7" s="440" t="s">
        <v>142</v>
      </c>
      <c r="C7" s="491"/>
      <c r="D7" s="21">
        <f>IF(ISNUMBER(D6),IF(D6&gt;0,ROUND((D4-D5)/D6,2),0),0)</f>
        <v>0</v>
      </c>
      <c r="E7" s="156">
        <f>IF(ISNUMBER(E6),IF(E6&gt;0,ROUND((E4-E5)/E6,2),0),0)</f>
        <v>0</v>
      </c>
      <c r="F7" s="332">
        <f>IF(ISNUMBER(F6),IF(F6&gt;0,ROUND((F4-F5)/F6,2),0),0)</f>
        <v>0</v>
      </c>
      <c r="G7" s="2"/>
      <c r="I7" s="2"/>
      <c r="J7" s="2"/>
      <c r="K7" s="2"/>
      <c r="L7" s="2"/>
      <c r="M7" s="2"/>
      <c r="N7" s="2"/>
    </row>
    <row r="8" spans="1:14" ht="36.75" customHeight="1">
      <c r="A8" s="141"/>
      <c r="B8" s="440" t="s">
        <v>82</v>
      </c>
      <c r="C8" s="491"/>
      <c r="D8" s="20">
        <f>'Insurance Premium Calculator'!B7</f>
        <v>0</v>
      </c>
      <c r="E8" s="20">
        <f>'Insurance Premium Calculator'!C7</f>
        <v>0</v>
      </c>
      <c r="F8" s="152">
        <f>'Insurance Premium Calculator'!D7</f>
        <v>0</v>
      </c>
      <c r="G8" s="2"/>
      <c r="I8" s="2"/>
      <c r="J8" s="2"/>
      <c r="K8" s="2"/>
      <c r="L8" s="2"/>
      <c r="M8" s="2"/>
      <c r="N8" s="2"/>
    </row>
    <row r="9" spans="1:14" ht="41.25" customHeight="1">
      <c r="A9" s="151">
        <v>13</v>
      </c>
      <c r="B9" s="383" t="s">
        <v>143</v>
      </c>
      <c r="C9" s="384"/>
      <c r="D9" s="21">
        <f>IF(ISNUMBER(D8),D8*D7,0)</f>
        <v>0</v>
      </c>
      <c r="E9" s="156">
        <f>IF(ISNUMBER(E8),E8*E7,0)</f>
        <v>0</v>
      </c>
      <c r="F9" s="155">
        <f>IF(ISNUMBER(F8),F8*F7,0)</f>
        <v>0</v>
      </c>
      <c r="G9" s="2"/>
      <c r="H9" s="150">
        <f>SUM(D9:F9)</f>
        <v>0</v>
      </c>
      <c r="I9" s="2" t="s">
        <v>7</v>
      </c>
      <c r="J9" s="2"/>
      <c r="K9" s="2"/>
      <c r="L9" s="2"/>
      <c r="M9" s="2"/>
      <c r="N9" s="2"/>
    </row>
    <row r="10" spans="1:14" ht="70.5" customHeight="1">
      <c r="A10" s="19">
        <v>14</v>
      </c>
      <c r="B10" s="409" t="s">
        <v>144</v>
      </c>
      <c r="C10" s="456"/>
      <c r="D10" s="25">
        <f>IF(ISERROR('Child Support Computation'!D29*$H9),0,ROUND('Child Support Computation'!D29*$H9,2))</f>
        <v>0</v>
      </c>
      <c r="E10" s="25">
        <f>IF(ISERROR('Child Support Computation'!E29*$H9),0,ROUND('Child Support Computation'!E29*$H9,2))</f>
        <v>0</v>
      </c>
      <c r="F10" s="493"/>
      <c r="G10" s="193" t="s">
        <v>7</v>
      </c>
      <c r="H10" s="2" t="s">
        <v>7</v>
      </c>
      <c r="I10" s="2"/>
      <c r="J10" s="2"/>
      <c r="K10" s="2"/>
      <c r="L10" s="2"/>
      <c r="M10" s="2"/>
      <c r="N10" s="2"/>
    </row>
    <row r="11" spans="1:14" ht="225" customHeight="1" thickBot="1">
      <c r="A11" s="23">
        <v>24</v>
      </c>
      <c r="B11" s="414" t="s">
        <v>141</v>
      </c>
      <c r="C11" s="415"/>
      <c r="D11" s="24">
        <f>'Child Support Computation'!D21*0.05</f>
        <v>0</v>
      </c>
      <c r="E11" s="24">
        <f>'Child Support Computation'!E21*0.05</f>
        <v>0</v>
      </c>
      <c r="F11" s="494"/>
      <c r="G11" s="193" t="s">
        <v>7</v>
      </c>
      <c r="H11" s="2" t="s">
        <v>7</v>
      </c>
      <c r="I11" s="2"/>
      <c r="J11" s="2"/>
      <c r="K11" s="2"/>
      <c r="L11" s="2"/>
      <c r="M11" s="2"/>
      <c r="N11" s="2"/>
    </row>
    <row r="12" ht="13.5" thickTop="1"/>
  </sheetData>
  <sheetProtection/>
  <mergeCells count="12">
    <mergeCell ref="F10:F11"/>
    <mergeCell ref="B10:C10"/>
    <mergeCell ref="B11:C11"/>
    <mergeCell ref="B7:C7"/>
    <mergeCell ref="B8:C8"/>
    <mergeCell ref="A1:F1"/>
    <mergeCell ref="B5:C5"/>
    <mergeCell ref="B6:C6"/>
    <mergeCell ref="B9:C9"/>
    <mergeCell ref="A2:F2"/>
    <mergeCell ref="B3:C3"/>
    <mergeCell ref="B4:C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Oklahoma Child Support Guidelines Excel Application</dc:title>
  <dc:subject>View the Excel guidelines computation application for calculating child support in Oklahoma.</dc:subject>
  <dc:creator>Oklahoma Child Support Services</dc:creator>
  <cp:keywords>oklahoma; human services; okdhs; dhs; state government; department; ocss; oklahoma child support services; guidelines; calculator; computation; excel; attorney; judges; non custodial; custodial; medical; obligor; obligee; order; forms; paternity</cp:keywords>
  <dc:description/>
  <cp:lastModifiedBy>Department of Human Services</cp:lastModifiedBy>
  <cp:lastPrinted>2009-08-27T16:38:52Z</cp:lastPrinted>
  <dcterms:created xsi:type="dcterms:W3CDTF">2008-10-07T13:16:35Z</dcterms:created>
  <dcterms:modified xsi:type="dcterms:W3CDTF">2009-09-02T17:40:51Z</dcterms:modified>
  <cp:category>Child Support</cp:category>
  <cp:version/>
  <cp:contentType/>
  <cp:contentStatus/>
</cp:coreProperties>
</file>